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issenmanagement-my.sharepoint.com/personal/cn_nissenmanagement_dk/Documents/2 nissenmanagement/0. NM kunder/LS Tórshavn/Landstings vaskeri Thorshavn LANDSSJÚKRAHÚSIÐ/projekter/fladt tøj/flat tender/"/>
    </mc:Choice>
  </mc:AlternateContent>
  <xr:revisionPtr revIDLastSave="2" documentId="8_{74358124-D1FF-4E07-BE5D-3B778A9E8CEC}" xr6:coauthVersionLast="47" xr6:coauthVersionMax="47" xr10:uidLastSave="{424F8D4D-6417-40D1-AE98-411787E3D7EC}"/>
  <bookViews>
    <workbookView xWindow="-120" yWindow="-120" windowWidth="29040" windowHeight="17520" tabRatio="926" xr2:uid="{7AC74E34-4EAC-46A7-95DF-79C9D91960B7}"/>
  </bookViews>
  <sheets>
    <sheet name="cn final LS flat linen 25" sheetId="23" r:id="rId1"/>
    <sheet name="LS udbud " sheetId="9" state="hidden" r:id="rId2"/>
    <sheet name="Udregning Buffer" sheetId="6" state="hidden" r:id="rId3"/>
    <sheet name="Buffer til varer (2)" sheetId="4" state="hidden" r:id="rId4"/>
    <sheet name="BV salg Hotel" sheetId="12" state="hidden" r:id="rId5"/>
    <sheet name="bv" sheetId="2" state="hidden" r:id="rId6"/>
    <sheet name="LS logo eksterne" sheetId="10" r:id="rId7"/>
    <sheet name="Buffer til varer" sheetId="1" state="hidden" r:id="rId8"/>
  </sheets>
  <definedNames>
    <definedName name="_xlnm._FilterDatabase" localSheetId="2" hidden="1">'Udregning Buffer'!$A$6:$A$6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3" l="1"/>
  <c r="J23" i="23"/>
  <c r="J22" i="23"/>
  <c r="J21" i="23"/>
  <c r="J20" i="23"/>
  <c r="J19" i="23"/>
  <c r="J18" i="23"/>
  <c r="J17" i="23"/>
  <c r="J16" i="23"/>
  <c r="J15" i="23"/>
  <c r="J14" i="23"/>
  <c r="J13" i="23"/>
  <c r="J12" i="23"/>
  <c r="J11" i="23"/>
  <c r="J10" i="23"/>
  <c r="J9" i="23"/>
  <c r="J8" i="23"/>
  <c r="J7" i="23"/>
  <c r="J6" i="23"/>
  <c r="F10" i="9" l="1"/>
  <c r="I10" i="9"/>
  <c r="H10" i="9"/>
  <c r="H11" i="9"/>
  <c r="H12" i="9"/>
  <c r="H13" i="9"/>
  <c r="H14" i="9"/>
  <c r="H15" i="9"/>
  <c r="H16" i="9"/>
  <c r="H17" i="9"/>
  <c r="H18" i="9"/>
  <c r="H19" i="9"/>
  <c r="H20" i="9"/>
  <c r="H21" i="9"/>
  <c r="H22" i="9"/>
  <c r="H23" i="9"/>
  <c r="H24" i="9"/>
  <c r="H25" i="9"/>
  <c r="H26" i="9"/>
  <c r="H27" i="9"/>
  <c r="H28" i="9"/>
  <c r="H29" i="9"/>
  <c r="H30" i="9"/>
  <c r="G20" i="9"/>
  <c r="J20" i="9" l="1"/>
  <c r="G10" i="9"/>
  <c r="J10" i="9" s="1"/>
  <c r="Q23" i="9"/>
  <c r="Q24" i="9"/>
  <c r="Q25" i="9"/>
  <c r="Q30" i="9" l="1"/>
  <c r="J87" i="6"/>
  <c r="K87" i="6" s="1"/>
  <c r="Q29" i="9"/>
  <c r="Q28" i="9"/>
  <c r="Q27" i="9"/>
  <c r="Q26" i="9"/>
  <c r="Q22" i="9"/>
  <c r="Q17" i="9"/>
  <c r="Q18" i="9"/>
  <c r="Q19" i="9"/>
  <c r="Q21" i="9"/>
  <c r="Q16" i="9"/>
  <c r="Q15" i="9"/>
  <c r="Q14" i="9"/>
  <c r="Q13" i="9"/>
  <c r="Q12" i="9"/>
  <c r="Q11" i="9"/>
  <c r="Q10" i="9"/>
  <c r="F26" i="9"/>
  <c r="G16" i="9"/>
  <c r="J16" i="9" s="1"/>
  <c r="M87" i="6" l="1"/>
  <c r="O87" i="6"/>
  <c r="F31" i="9"/>
  <c r="G30" i="9"/>
  <c r="J30" i="9" s="1"/>
  <c r="G29" i="9"/>
  <c r="J29" i="9" s="1"/>
  <c r="G28" i="9"/>
  <c r="J28" i="9" s="1"/>
  <c r="G27" i="9"/>
  <c r="J27" i="9" s="1"/>
  <c r="G25" i="9"/>
  <c r="J25" i="9" s="1"/>
  <c r="G24" i="9"/>
  <c r="J24" i="9" s="1"/>
  <c r="G23" i="9"/>
  <c r="J23" i="9" s="1"/>
  <c r="G22" i="9"/>
  <c r="J22" i="9" s="1"/>
  <c r="G21" i="9"/>
  <c r="J21" i="9" s="1"/>
  <c r="G19" i="9"/>
  <c r="J19" i="9" s="1"/>
  <c r="G18" i="9"/>
  <c r="J18" i="9" s="1"/>
  <c r="G17" i="9"/>
  <c r="J17" i="9" s="1"/>
  <c r="G15" i="9"/>
  <c r="J15" i="9" s="1"/>
  <c r="G14" i="9"/>
  <c r="J14" i="9" s="1"/>
  <c r="G13" i="9"/>
  <c r="J13" i="9" s="1"/>
  <c r="G12" i="9"/>
  <c r="J12" i="9" s="1"/>
  <c r="G11" i="9"/>
  <c r="J11" i="9" s="1"/>
  <c r="M191" i="6"/>
  <c r="H31" i="9" l="1"/>
  <c r="G31" i="9"/>
  <c r="J191" i="6" l="1"/>
  <c r="O191" i="6" s="1"/>
  <c r="J41" i="6" l="1"/>
  <c r="K41" i="6" s="1"/>
  <c r="O41" i="6" l="1"/>
  <c r="M41" i="6"/>
  <c r="P190" i="6" l="1"/>
  <c r="P91" i="6"/>
  <c r="P89" i="6"/>
  <c r="P88" i="6"/>
  <c r="P29" i="6"/>
  <c r="P23" i="6" s="1"/>
  <c r="P8" i="6"/>
  <c r="P63" i="6"/>
  <c r="P43" i="6"/>
  <c r="P42" i="6"/>
  <c r="P16" i="6"/>
  <c r="P15" i="6"/>
  <c r="P14" i="6"/>
  <c r="P9" i="6"/>
  <c r="P20" i="6"/>
  <c r="P12" i="6"/>
  <c r="P13" i="2"/>
  <c r="P27" i="6" l="1"/>
  <c r="P24" i="6"/>
  <c r="I192" i="6"/>
  <c r="M5" i="4"/>
  <c r="J29" i="6"/>
  <c r="K29" i="6" s="1"/>
  <c r="J23" i="6"/>
  <c r="K23" i="6" s="1"/>
  <c r="M23" i="6" s="1"/>
  <c r="J10" i="6"/>
  <c r="K10" i="6" s="1"/>
  <c r="J11" i="6"/>
  <c r="K11" i="6" s="1"/>
  <c r="J63" i="6"/>
  <c r="K63" i="6" s="1"/>
  <c r="M63" i="6" s="1"/>
  <c r="J13" i="6"/>
  <c r="K13" i="6" s="1"/>
  <c r="J38" i="6"/>
  <c r="K38" i="6" s="1"/>
  <c r="M38" i="6" s="1"/>
  <c r="J35" i="6"/>
  <c r="K35" i="6" s="1"/>
  <c r="M35" i="6" s="1"/>
  <c r="J42" i="6"/>
  <c r="K42" i="6" s="1"/>
  <c r="M42" i="6" s="1"/>
  <c r="J17" i="6"/>
  <c r="K17" i="6" s="1"/>
  <c r="J18" i="6"/>
  <c r="K18" i="6" s="1"/>
  <c r="J19" i="6"/>
  <c r="K19" i="6" s="1"/>
  <c r="J30" i="6"/>
  <c r="K30" i="6" s="1"/>
  <c r="J21" i="6"/>
  <c r="K21" i="6" s="1"/>
  <c r="J22" i="6"/>
  <c r="K22" i="6" s="1"/>
  <c r="J8" i="6"/>
  <c r="K8" i="6" s="1"/>
  <c r="M8" i="6" s="1"/>
  <c r="J91" i="6"/>
  <c r="K91" i="6" s="1"/>
  <c r="M91" i="6" s="1"/>
  <c r="J25" i="6"/>
  <c r="J26" i="6"/>
  <c r="K26" i="6" s="1"/>
  <c r="J190" i="6"/>
  <c r="K190" i="6" s="1"/>
  <c r="M190" i="6" s="1"/>
  <c r="J28" i="6"/>
  <c r="K28" i="6" s="1"/>
  <c r="J92" i="6"/>
  <c r="K92" i="6" s="1"/>
  <c r="M92" i="6" s="1"/>
  <c r="J88" i="6"/>
  <c r="K88" i="6" s="1"/>
  <c r="M88" i="6" s="1"/>
  <c r="J31" i="6"/>
  <c r="K31" i="6" s="1"/>
  <c r="J32" i="6"/>
  <c r="K32" i="6" s="1"/>
  <c r="J33" i="6"/>
  <c r="K33" i="6" s="1"/>
  <c r="J34" i="6"/>
  <c r="K34" i="6" s="1"/>
  <c r="J89" i="6"/>
  <c r="K89" i="6" s="1"/>
  <c r="M89" i="6" s="1"/>
  <c r="J36" i="6"/>
  <c r="K36" i="6" s="1"/>
  <c r="J37" i="6"/>
  <c r="K37" i="6" s="1"/>
  <c r="J43" i="6"/>
  <c r="K43" i="6" s="1"/>
  <c r="M43" i="6" s="1"/>
  <c r="J24" i="6"/>
  <c r="K24" i="6" s="1"/>
  <c r="M24" i="6" s="1"/>
  <c r="J27" i="6"/>
  <c r="K27" i="6" s="1"/>
  <c r="M27" i="6" s="1"/>
  <c r="J40" i="6"/>
  <c r="K40" i="6" s="1"/>
  <c r="M40" i="6" s="1"/>
  <c r="J39" i="6"/>
  <c r="K39" i="6" s="1"/>
  <c r="M39" i="6" s="1"/>
  <c r="J44" i="6"/>
  <c r="K44" i="6" s="1"/>
  <c r="J45" i="6"/>
  <c r="K45" i="6" s="1"/>
  <c r="J46" i="6"/>
  <c r="K46" i="6" s="1"/>
  <c r="J47" i="6"/>
  <c r="K47" i="6" s="1"/>
  <c r="J48" i="6"/>
  <c r="K48" i="6" s="1"/>
  <c r="J49" i="6"/>
  <c r="K49" i="6" s="1"/>
  <c r="J50" i="6"/>
  <c r="K50" i="6" s="1"/>
  <c r="J51" i="6"/>
  <c r="K51" i="6" s="1"/>
  <c r="J52" i="6"/>
  <c r="K52" i="6" s="1"/>
  <c r="J53" i="6"/>
  <c r="K53" i="6" s="1"/>
  <c r="J54" i="6"/>
  <c r="K54" i="6" s="1"/>
  <c r="J55" i="6"/>
  <c r="K55" i="6" s="1"/>
  <c r="J56" i="6"/>
  <c r="K56" i="6" s="1"/>
  <c r="J57" i="6"/>
  <c r="K57" i="6" s="1"/>
  <c r="J58" i="6"/>
  <c r="K58" i="6" s="1"/>
  <c r="J59" i="6"/>
  <c r="K59" i="6" s="1"/>
  <c r="J60" i="6"/>
  <c r="K60" i="6" s="1"/>
  <c r="J61" i="6"/>
  <c r="K61" i="6" s="1"/>
  <c r="J62" i="6"/>
  <c r="K62" i="6" s="1"/>
  <c r="J93" i="6"/>
  <c r="K93" i="6" s="1"/>
  <c r="J64" i="6"/>
  <c r="K64" i="6" s="1"/>
  <c r="J65" i="6"/>
  <c r="K65" i="6" s="1"/>
  <c r="J66" i="6"/>
  <c r="K66" i="6" s="1"/>
  <c r="J67" i="6"/>
  <c r="K67" i="6" s="1"/>
  <c r="J68" i="6"/>
  <c r="K68" i="6" s="1"/>
  <c r="J69" i="6"/>
  <c r="K69" i="6" s="1"/>
  <c r="J70" i="6"/>
  <c r="K70" i="6" s="1"/>
  <c r="J71" i="6"/>
  <c r="K71" i="6" s="1"/>
  <c r="J72" i="6"/>
  <c r="K72" i="6" s="1"/>
  <c r="J73" i="6"/>
  <c r="K73" i="6" s="1"/>
  <c r="J74" i="6"/>
  <c r="K74" i="6" s="1"/>
  <c r="J75" i="6"/>
  <c r="K75" i="6" s="1"/>
  <c r="J76" i="6"/>
  <c r="K76" i="6" s="1"/>
  <c r="J77" i="6"/>
  <c r="K77" i="6" s="1"/>
  <c r="J78" i="6"/>
  <c r="K78" i="6" s="1"/>
  <c r="J79" i="6"/>
  <c r="K79" i="6" s="1"/>
  <c r="J80" i="6"/>
  <c r="K80" i="6" s="1"/>
  <c r="J81" i="6"/>
  <c r="K81" i="6" s="1"/>
  <c r="J82" i="6"/>
  <c r="K82" i="6" s="1"/>
  <c r="J83" i="6"/>
  <c r="K83" i="6" s="1"/>
  <c r="J84" i="6"/>
  <c r="K84" i="6" s="1"/>
  <c r="J85" i="6"/>
  <c r="K85" i="6" s="1"/>
  <c r="J86" i="6"/>
  <c r="K86" i="6" s="1"/>
  <c r="J15" i="6"/>
  <c r="K15" i="6" s="1"/>
  <c r="M15" i="6" s="1"/>
  <c r="J16" i="6"/>
  <c r="K16" i="6" s="1"/>
  <c r="M16" i="6" s="1"/>
  <c r="J90" i="6"/>
  <c r="K90" i="6" s="1"/>
  <c r="J9" i="6"/>
  <c r="K9" i="6" s="1"/>
  <c r="M9" i="6" s="1"/>
  <c r="J12" i="6"/>
  <c r="K12" i="6" s="1"/>
  <c r="M12" i="6" s="1"/>
  <c r="J14" i="6"/>
  <c r="K14" i="6" s="1"/>
  <c r="M14" i="6" s="1"/>
  <c r="J94" i="6"/>
  <c r="K94" i="6" s="1"/>
  <c r="J95" i="6"/>
  <c r="K95" i="6" s="1"/>
  <c r="J96" i="6"/>
  <c r="K96" i="6" s="1"/>
  <c r="J97" i="6"/>
  <c r="K97" i="6" s="1"/>
  <c r="J98" i="6"/>
  <c r="K98" i="6" s="1"/>
  <c r="J99" i="6"/>
  <c r="K99" i="6" s="1"/>
  <c r="J100" i="6"/>
  <c r="K100" i="6" s="1"/>
  <c r="J101" i="6"/>
  <c r="K101" i="6" s="1"/>
  <c r="J102" i="6"/>
  <c r="K102" i="6" s="1"/>
  <c r="J103" i="6"/>
  <c r="K103" i="6" s="1"/>
  <c r="J104" i="6"/>
  <c r="K104" i="6" s="1"/>
  <c r="J105" i="6"/>
  <c r="K105" i="6" s="1"/>
  <c r="J106" i="6"/>
  <c r="K106" i="6" s="1"/>
  <c r="J107" i="6"/>
  <c r="K107" i="6" s="1"/>
  <c r="J108" i="6"/>
  <c r="K108" i="6" s="1"/>
  <c r="J109" i="6"/>
  <c r="K109" i="6" s="1"/>
  <c r="J110" i="6"/>
  <c r="K110" i="6" s="1"/>
  <c r="J111" i="6"/>
  <c r="K111" i="6" s="1"/>
  <c r="J112" i="6"/>
  <c r="K112" i="6" s="1"/>
  <c r="J113" i="6"/>
  <c r="K113" i="6" s="1"/>
  <c r="J114" i="6"/>
  <c r="K114" i="6" s="1"/>
  <c r="J115" i="6"/>
  <c r="K115" i="6" s="1"/>
  <c r="J116" i="6"/>
  <c r="K116" i="6" s="1"/>
  <c r="J117" i="6"/>
  <c r="K117" i="6" s="1"/>
  <c r="J118" i="6"/>
  <c r="K118" i="6" s="1"/>
  <c r="J119" i="6"/>
  <c r="K119" i="6" s="1"/>
  <c r="J120" i="6"/>
  <c r="K120" i="6" s="1"/>
  <c r="J121" i="6"/>
  <c r="K121" i="6" s="1"/>
  <c r="J122" i="6"/>
  <c r="K122" i="6" s="1"/>
  <c r="J123" i="6"/>
  <c r="K123" i="6" s="1"/>
  <c r="J124" i="6"/>
  <c r="K124" i="6" s="1"/>
  <c r="J125" i="6"/>
  <c r="K125" i="6" s="1"/>
  <c r="J126" i="6"/>
  <c r="K126" i="6" s="1"/>
  <c r="J127" i="6"/>
  <c r="K127" i="6" s="1"/>
  <c r="J128" i="6"/>
  <c r="K128" i="6" s="1"/>
  <c r="J129" i="6"/>
  <c r="K129" i="6" s="1"/>
  <c r="J130" i="6"/>
  <c r="K130" i="6" s="1"/>
  <c r="J131" i="6"/>
  <c r="K131" i="6" s="1"/>
  <c r="J132" i="6"/>
  <c r="K132" i="6" s="1"/>
  <c r="J133" i="6"/>
  <c r="K133" i="6" s="1"/>
  <c r="J134" i="6"/>
  <c r="K134" i="6" s="1"/>
  <c r="J135" i="6"/>
  <c r="K135" i="6" s="1"/>
  <c r="J136" i="6"/>
  <c r="K136" i="6" s="1"/>
  <c r="J137" i="6"/>
  <c r="K137" i="6" s="1"/>
  <c r="J138" i="6"/>
  <c r="K138" i="6" s="1"/>
  <c r="J139" i="6"/>
  <c r="K139" i="6" s="1"/>
  <c r="J140" i="6"/>
  <c r="K140" i="6" s="1"/>
  <c r="J141" i="6"/>
  <c r="K141" i="6" s="1"/>
  <c r="J142" i="6"/>
  <c r="K142" i="6" s="1"/>
  <c r="J143" i="6"/>
  <c r="K143" i="6" s="1"/>
  <c r="J144" i="6"/>
  <c r="K144" i="6" s="1"/>
  <c r="J145" i="6"/>
  <c r="K145" i="6" s="1"/>
  <c r="J146" i="6"/>
  <c r="K146" i="6" s="1"/>
  <c r="J147" i="6"/>
  <c r="K147" i="6" s="1"/>
  <c r="J148" i="6"/>
  <c r="K148" i="6" s="1"/>
  <c r="J149" i="6"/>
  <c r="K149" i="6" s="1"/>
  <c r="J150" i="6"/>
  <c r="K150" i="6" s="1"/>
  <c r="J151" i="6"/>
  <c r="K151" i="6" s="1"/>
  <c r="J152" i="6"/>
  <c r="K152" i="6" s="1"/>
  <c r="J153" i="6"/>
  <c r="K153" i="6" s="1"/>
  <c r="J154" i="6"/>
  <c r="K154" i="6" s="1"/>
  <c r="J155" i="6"/>
  <c r="K155" i="6" s="1"/>
  <c r="J156" i="6"/>
  <c r="K156" i="6" s="1"/>
  <c r="J157" i="6"/>
  <c r="K157" i="6" s="1"/>
  <c r="J158" i="6"/>
  <c r="K158" i="6" s="1"/>
  <c r="J159" i="6"/>
  <c r="K159" i="6" s="1"/>
  <c r="J160" i="6"/>
  <c r="K160" i="6" s="1"/>
  <c r="J161" i="6"/>
  <c r="K161" i="6" s="1"/>
  <c r="J162" i="6"/>
  <c r="K162" i="6" s="1"/>
  <c r="J163" i="6"/>
  <c r="K163" i="6" s="1"/>
  <c r="J164" i="6"/>
  <c r="K164" i="6" s="1"/>
  <c r="J165" i="6"/>
  <c r="K165" i="6" s="1"/>
  <c r="J166" i="6"/>
  <c r="K166" i="6" s="1"/>
  <c r="J167" i="6"/>
  <c r="K167" i="6" s="1"/>
  <c r="J168" i="6"/>
  <c r="K168" i="6" s="1"/>
  <c r="J169" i="6"/>
  <c r="K169" i="6" s="1"/>
  <c r="J170" i="6"/>
  <c r="K170" i="6" s="1"/>
  <c r="J171" i="6"/>
  <c r="K171" i="6" s="1"/>
  <c r="J172" i="6"/>
  <c r="K172" i="6" s="1"/>
  <c r="J173" i="6"/>
  <c r="K173" i="6" s="1"/>
  <c r="J174" i="6"/>
  <c r="K174" i="6" s="1"/>
  <c r="J175" i="6"/>
  <c r="K175" i="6" s="1"/>
  <c r="J176" i="6"/>
  <c r="K176" i="6" s="1"/>
  <c r="J177" i="6"/>
  <c r="K177" i="6" s="1"/>
  <c r="J178" i="6"/>
  <c r="K178" i="6" s="1"/>
  <c r="J179" i="6"/>
  <c r="K179" i="6" s="1"/>
  <c r="J180" i="6"/>
  <c r="K180" i="6" s="1"/>
  <c r="J181" i="6"/>
  <c r="K181" i="6" s="1"/>
  <c r="J182" i="6"/>
  <c r="K182" i="6" s="1"/>
  <c r="J183" i="6"/>
  <c r="K183" i="6" s="1"/>
  <c r="J184" i="6"/>
  <c r="K184" i="6" s="1"/>
  <c r="J185" i="6"/>
  <c r="K185" i="6" s="1"/>
  <c r="J186" i="6"/>
  <c r="K186" i="6" s="1"/>
  <c r="J187" i="6"/>
  <c r="K187" i="6" s="1"/>
  <c r="J188" i="6"/>
  <c r="K188" i="6" s="1"/>
  <c r="J189" i="6"/>
  <c r="K189" i="6" s="1"/>
  <c r="J20" i="6"/>
  <c r="K20" i="6" s="1"/>
  <c r="M20" i="6" s="1"/>
  <c r="J7" i="6"/>
  <c r="K7" i="6" s="1"/>
  <c r="E69" i="4"/>
  <c r="E68" i="4"/>
  <c r="K25" i="6" l="1"/>
  <c r="I26" i="9"/>
  <c r="J26" i="9" s="1"/>
  <c r="O149" i="6"/>
  <c r="M149" i="6"/>
  <c r="O68" i="6"/>
  <c r="M68" i="6"/>
  <c r="O164" i="6"/>
  <c r="M164" i="6"/>
  <c r="O67" i="6"/>
  <c r="M67" i="6"/>
  <c r="O131" i="6"/>
  <c r="M131" i="6"/>
  <c r="O33" i="6"/>
  <c r="M33" i="6"/>
  <c r="O114" i="6"/>
  <c r="M114" i="6"/>
  <c r="O49" i="6"/>
  <c r="M49" i="6"/>
  <c r="O113" i="6"/>
  <c r="M113" i="6"/>
  <c r="O48" i="6"/>
  <c r="M48" i="6"/>
  <c r="O144" i="6"/>
  <c r="M144" i="6"/>
  <c r="O47" i="6"/>
  <c r="M47" i="6"/>
  <c r="O127" i="6"/>
  <c r="M127" i="6"/>
  <c r="O46" i="6"/>
  <c r="M46" i="6"/>
  <c r="O110" i="6"/>
  <c r="M110" i="6"/>
  <c r="O28" i="6"/>
  <c r="M28" i="6"/>
  <c r="O189" i="6"/>
  <c r="M189" i="6"/>
  <c r="O109" i="6"/>
  <c r="M109" i="6"/>
  <c r="O44" i="6"/>
  <c r="M44" i="6"/>
  <c r="O188" i="6"/>
  <c r="M188" i="6"/>
  <c r="O75" i="6"/>
  <c r="M75" i="6"/>
  <c r="O171" i="6"/>
  <c r="M171" i="6"/>
  <c r="O58" i="6"/>
  <c r="M58" i="6"/>
  <c r="O25" i="6"/>
  <c r="O181" i="6"/>
  <c r="M181" i="6"/>
  <c r="O116" i="6"/>
  <c r="M116" i="6"/>
  <c r="O34" i="6"/>
  <c r="M34" i="6"/>
  <c r="O163" i="6"/>
  <c r="M163" i="6"/>
  <c r="O82" i="6"/>
  <c r="M82" i="6"/>
  <c r="O162" i="6"/>
  <c r="M162" i="6"/>
  <c r="O97" i="6"/>
  <c r="M97" i="6"/>
  <c r="O176" i="6"/>
  <c r="M176" i="6"/>
  <c r="O143" i="6"/>
  <c r="M143" i="6"/>
  <c r="O78" i="6"/>
  <c r="M78" i="6"/>
  <c r="O13" i="6"/>
  <c r="M13" i="6"/>
  <c r="O126" i="6"/>
  <c r="M126" i="6"/>
  <c r="O61" i="6"/>
  <c r="M61" i="6"/>
  <c r="O157" i="6"/>
  <c r="M157" i="6"/>
  <c r="O156" i="6"/>
  <c r="M156" i="6"/>
  <c r="O108" i="6"/>
  <c r="M108" i="6"/>
  <c r="O139" i="6"/>
  <c r="M139" i="6"/>
  <c r="O74" i="6"/>
  <c r="M74" i="6"/>
  <c r="O186" i="6"/>
  <c r="M186" i="6"/>
  <c r="O170" i="6"/>
  <c r="M170" i="6"/>
  <c r="O154" i="6"/>
  <c r="M154" i="6"/>
  <c r="O138" i="6"/>
  <c r="M138" i="6"/>
  <c r="O122" i="6"/>
  <c r="M122" i="6"/>
  <c r="O106" i="6"/>
  <c r="M106" i="6"/>
  <c r="O90" i="6"/>
  <c r="M90" i="6"/>
  <c r="O73" i="6"/>
  <c r="M73" i="6"/>
  <c r="O57" i="6"/>
  <c r="M57" i="6"/>
  <c r="S29" i="6"/>
  <c r="T29" i="6" s="1"/>
  <c r="M29" i="6"/>
  <c r="O133" i="6"/>
  <c r="M133" i="6"/>
  <c r="O84" i="6"/>
  <c r="M84" i="6"/>
  <c r="O148" i="6"/>
  <c r="M148" i="6"/>
  <c r="O18" i="6"/>
  <c r="M18" i="6"/>
  <c r="O99" i="6"/>
  <c r="M99" i="6"/>
  <c r="O178" i="6"/>
  <c r="M178" i="6"/>
  <c r="O32" i="6"/>
  <c r="M32" i="6"/>
  <c r="O145" i="6"/>
  <c r="M145" i="6"/>
  <c r="O64" i="6"/>
  <c r="M64" i="6"/>
  <c r="O159" i="6"/>
  <c r="M159" i="6"/>
  <c r="O62" i="6"/>
  <c r="M62" i="6"/>
  <c r="O158" i="6"/>
  <c r="M158" i="6"/>
  <c r="O94" i="6"/>
  <c r="M94" i="6"/>
  <c r="O187" i="6"/>
  <c r="M187" i="6"/>
  <c r="O123" i="6"/>
  <c r="M123" i="6"/>
  <c r="O169" i="6"/>
  <c r="M169" i="6"/>
  <c r="O153" i="6"/>
  <c r="M153" i="6"/>
  <c r="O137" i="6"/>
  <c r="M137" i="6"/>
  <c r="O121" i="6"/>
  <c r="M121" i="6"/>
  <c r="O105" i="6"/>
  <c r="M105" i="6"/>
  <c r="O72" i="6"/>
  <c r="M72" i="6"/>
  <c r="O56" i="6"/>
  <c r="M56" i="6"/>
  <c r="O165" i="6"/>
  <c r="M165" i="6"/>
  <c r="O52" i="6"/>
  <c r="M52" i="6"/>
  <c r="O180" i="6"/>
  <c r="M180" i="6"/>
  <c r="O83" i="6"/>
  <c r="M83" i="6"/>
  <c r="O147" i="6"/>
  <c r="M147" i="6"/>
  <c r="O17" i="6"/>
  <c r="M17" i="6"/>
  <c r="O130" i="6"/>
  <c r="M130" i="6"/>
  <c r="O65" i="6"/>
  <c r="M65" i="6"/>
  <c r="O129" i="6"/>
  <c r="M129" i="6"/>
  <c r="O31" i="6"/>
  <c r="M31" i="6"/>
  <c r="O128" i="6"/>
  <c r="M128" i="6"/>
  <c r="O93" i="6"/>
  <c r="M93" i="6"/>
  <c r="O175" i="6"/>
  <c r="M175" i="6"/>
  <c r="O142" i="6"/>
  <c r="M142" i="6"/>
  <c r="O77" i="6"/>
  <c r="M77" i="6"/>
  <c r="O173" i="6"/>
  <c r="M173" i="6"/>
  <c r="O11" i="6"/>
  <c r="M11" i="6"/>
  <c r="O124" i="6"/>
  <c r="M124" i="6"/>
  <c r="O10" i="6"/>
  <c r="M10" i="6"/>
  <c r="O152" i="6"/>
  <c r="M152" i="6"/>
  <c r="O19" i="6"/>
  <c r="M19" i="6"/>
  <c r="O100" i="6"/>
  <c r="M100" i="6"/>
  <c r="O179" i="6"/>
  <c r="M179" i="6"/>
  <c r="O66" i="6"/>
  <c r="M66" i="6"/>
  <c r="O98" i="6"/>
  <c r="M98" i="6"/>
  <c r="O177" i="6"/>
  <c r="M177" i="6"/>
  <c r="O80" i="6"/>
  <c r="M80" i="6"/>
  <c r="O160" i="6"/>
  <c r="M160" i="6"/>
  <c r="O96" i="6"/>
  <c r="M96" i="6"/>
  <c r="O7" i="6"/>
  <c r="M7" i="6"/>
  <c r="O95" i="6"/>
  <c r="M95" i="6"/>
  <c r="O174" i="6"/>
  <c r="M174" i="6"/>
  <c r="O45" i="6"/>
  <c r="M45" i="6"/>
  <c r="O141" i="6"/>
  <c r="M141" i="6"/>
  <c r="O76" i="6"/>
  <c r="M76" i="6"/>
  <c r="O140" i="6"/>
  <c r="M140" i="6"/>
  <c r="O59" i="6"/>
  <c r="M59" i="6"/>
  <c r="O155" i="6"/>
  <c r="M155" i="6"/>
  <c r="O185" i="6"/>
  <c r="M185" i="6"/>
  <c r="O168" i="6"/>
  <c r="M168" i="6"/>
  <c r="O120" i="6"/>
  <c r="M120" i="6"/>
  <c r="O167" i="6"/>
  <c r="M167" i="6"/>
  <c r="O135" i="6"/>
  <c r="M135" i="6"/>
  <c r="O119" i="6"/>
  <c r="M119" i="6"/>
  <c r="O103" i="6"/>
  <c r="M103" i="6"/>
  <c r="O86" i="6"/>
  <c r="M86" i="6"/>
  <c r="O70" i="6"/>
  <c r="M70" i="6"/>
  <c r="O54" i="6"/>
  <c r="M54" i="6"/>
  <c r="O37" i="6"/>
  <c r="M37" i="6"/>
  <c r="O21" i="6"/>
  <c r="M21" i="6"/>
  <c r="O117" i="6"/>
  <c r="M117" i="6"/>
  <c r="O101" i="6"/>
  <c r="M101" i="6"/>
  <c r="O132" i="6"/>
  <c r="M132" i="6"/>
  <c r="O51" i="6"/>
  <c r="M51" i="6"/>
  <c r="O115" i="6"/>
  <c r="M115" i="6"/>
  <c r="O50" i="6"/>
  <c r="M50" i="6"/>
  <c r="O146" i="6"/>
  <c r="M146" i="6"/>
  <c r="O81" i="6"/>
  <c r="M81" i="6"/>
  <c r="O161" i="6"/>
  <c r="M161" i="6"/>
  <c r="O112" i="6"/>
  <c r="M112" i="6"/>
  <c r="O79" i="6"/>
  <c r="M79" i="6"/>
  <c r="O111" i="6"/>
  <c r="M111" i="6"/>
  <c r="O125" i="6"/>
  <c r="M125" i="6"/>
  <c r="O60" i="6"/>
  <c r="M60" i="6"/>
  <c r="O172" i="6"/>
  <c r="M172" i="6"/>
  <c r="O26" i="6"/>
  <c r="M26" i="6"/>
  <c r="O107" i="6"/>
  <c r="M107" i="6"/>
  <c r="O184" i="6"/>
  <c r="M184" i="6"/>
  <c r="O136" i="6"/>
  <c r="M136" i="6"/>
  <c r="O104" i="6"/>
  <c r="M104" i="6"/>
  <c r="O71" i="6"/>
  <c r="M71" i="6"/>
  <c r="O55" i="6"/>
  <c r="M55" i="6"/>
  <c r="O22" i="6"/>
  <c r="M22" i="6"/>
  <c r="O183" i="6"/>
  <c r="M183" i="6"/>
  <c r="O151" i="6"/>
  <c r="M151" i="6"/>
  <c r="O182" i="6"/>
  <c r="M182" i="6"/>
  <c r="O166" i="6"/>
  <c r="M166" i="6"/>
  <c r="O150" i="6"/>
  <c r="M150" i="6"/>
  <c r="O134" i="6"/>
  <c r="M134" i="6"/>
  <c r="O118" i="6"/>
  <c r="M118" i="6"/>
  <c r="O102" i="6"/>
  <c r="M102" i="6"/>
  <c r="O85" i="6"/>
  <c r="M85" i="6"/>
  <c r="O69" i="6"/>
  <c r="M69" i="6"/>
  <c r="O53" i="6"/>
  <c r="M53" i="6"/>
  <c r="O36" i="6"/>
  <c r="M36" i="6"/>
  <c r="O30" i="6"/>
  <c r="M30" i="6"/>
  <c r="O42" i="6"/>
  <c r="S42" i="6"/>
  <c r="T42" i="6" s="1"/>
  <c r="O35" i="6"/>
  <c r="S35" i="6"/>
  <c r="T35" i="6" s="1"/>
  <c r="O38" i="6"/>
  <c r="S38" i="6"/>
  <c r="T38" i="6" s="1"/>
  <c r="O92" i="6"/>
  <c r="S92" i="6"/>
  <c r="T92" i="6" s="1"/>
  <c r="O9" i="6"/>
  <c r="S9" i="6"/>
  <c r="T9" i="6" s="1"/>
  <c r="O40" i="6"/>
  <c r="S40" i="6"/>
  <c r="T40" i="6" s="1"/>
  <c r="O23" i="6"/>
  <c r="S23" i="6"/>
  <c r="T23" i="6" s="1"/>
  <c r="O88" i="6"/>
  <c r="S88" i="6"/>
  <c r="T88" i="6" s="1"/>
  <c r="O12" i="6"/>
  <c r="S12" i="6"/>
  <c r="T12" i="6" s="1"/>
  <c r="O20" i="6"/>
  <c r="S20" i="6"/>
  <c r="T20" i="6" s="1"/>
  <c r="O63" i="6"/>
  <c r="S63" i="6"/>
  <c r="T63" i="6" s="1"/>
  <c r="O27" i="6"/>
  <c r="S27" i="6"/>
  <c r="T27" i="6" s="1"/>
  <c r="O16" i="6"/>
  <c r="S16" i="6"/>
  <c r="T16" i="6" s="1"/>
  <c r="O24" i="6"/>
  <c r="S24" i="6"/>
  <c r="T24" i="6" s="1"/>
  <c r="O8" i="6"/>
  <c r="S8" i="6"/>
  <c r="O89" i="6"/>
  <c r="S89" i="6"/>
  <c r="T89" i="6" s="1"/>
  <c r="O14" i="6"/>
  <c r="S14" i="6"/>
  <c r="T14" i="6" s="1"/>
  <c r="O190" i="6"/>
  <c r="S190" i="6"/>
  <c r="T190" i="6" s="1"/>
  <c r="O39" i="6"/>
  <c r="S39" i="6"/>
  <c r="T39" i="6" s="1"/>
  <c r="O91" i="6"/>
  <c r="S91" i="6"/>
  <c r="T91" i="6" s="1"/>
  <c r="O15" i="6"/>
  <c r="S15" i="6"/>
  <c r="T15" i="6" s="1"/>
  <c r="O43" i="6"/>
  <c r="S43" i="6"/>
  <c r="T43" i="6" s="1"/>
  <c r="K192" i="6"/>
  <c r="J192" i="6"/>
  <c r="O29" i="6"/>
  <c r="M25" i="6" l="1"/>
  <c r="O192" i="6"/>
  <c r="T8" i="6"/>
  <c r="T192" i="6" s="1"/>
  <c r="S192" i="6"/>
  <c r="N4" i="4"/>
  <c r="N7" i="4" s="1"/>
  <c r="N10" i="4" s="1"/>
  <c r="N13" i="4" s="1"/>
  <c r="N16" i="4" s="1"/>
  <c r="N19" i="4" s="1"/>
  <c r="N22" i="4" s="1"/>
  <c r="N25" i="4" s="1"/>
  <c r="N28" i="4" s="1"/>
  <c r="N6" i="4"/>
  <c r="N9" i="4" s="1"/>
  <c r="N12" i="4" s="1"/>
  <c r="N15" i="4" s="1"/>
  <c r="N18" i="4" s="1"/>
  <c r="N21" i="4" s="1"/>
  <c r="N24" i="4" s="1"/>
  <c r="N27" i="4" s="1"/>
  <c r="N30" i="4" s="1"/>
  <c r="N33" i="4" s="1"/>
  <c r="N36" i="4" s="1"/>
  <c r="N39" i="4" s="1"/>
  <c r="N42" i="4" s="1"/>
  <c r="N45" i="4" s="1"/>
  <c r="N48" i="4" s="1"/>
  <c r="N51" i="4" s="1"/>
  <c r="N54" i="4" s="1"/>
  <c r="N57" i="4" s="1"/>
  <c r="N60" i="4" s="1"/>
  <c r="N63" i="4" s="1"/>
  <c r="N66" i="4" s="1"/>
  <c r="N69" i="4" s="1"/>
  <c r="Q18" i="4" l="1"/>
  <c r="Q17" i="4"/>
  <c r="Q16" i="4"/>
  <c r="Q15" i="4"/>
  <c r="Q14" i="4"/>
  <c r="Q13" i="4"/>
  <c r="Q12" i="4"/>
  <c r="Q11" i="4"/>
  <c r="Q10" i="4"/>
  <c r="Q9" i="4"/>
  <c r="Q8" i="4"/>
  <c r="Q7" i="4"/>
  <c r="Q6" i="4"/>
  <c r="Q5" i="4"/>
  <c r="Q4" i="4"/>
  <c r="P16" i="2"/>
  <c r="P15" i="2"/>
  <c r="P14" i="2"/>
  <c r="P12" i="2"/>
  <c r="P11" i="2"/>
  <c r="P10" i="2"/>
  <c r="P9" i="2"/>
  <c r="P8" i="2"/>
  <c r="P7" i="2"/>
  <c r="P6" i="2" l="1"/>
  <c r="P5" i="2"/>
  <c r="P4" i="2"/>
  <c r="P3" i="2"/>
  <c r="P2" i="2"/>
  <c r="N20" i="2"/>
  <c r="N19" i="2"/>
  <c r="N18" i="2"/>
  <c r="N17" i="2"/>
  <c r="N16" i="2"/>
  <c r="N15" i="2"/>
  <c r="N14" i="2"/>
  <c r="N13" i="2"/>
  <c r="N12" i="2"/>
  <c r="N11" i="2"/>
  <c r="N10" i="2"/>
  <c r="N9" i="2"/>
  <c r="N8" i="2"/>
  <c r="N7" i="2"/>
  <c r="N6" i="2"/>
  <c r="N5" i="2"/>
  <c r="N4" i="2"/>
  <c r="N3" i="2"/>
  <c r="N2" i="2"/>
  <c r="F186" i="4" l="1"/>
  <c r="G186" i="4" s="1"/>
  <c r="F56" i="4"/>
  <c r="G56" i="4" s="1"/>
  <c r="J56" i="4" s="1"/>
  <c r="F55" i="4"/>
  <c r="G55" i="4" s="1"/>
  <c r="J55" i="4" s="1"/>
  <c r="F54" i="4"/>
  <c r="G54" i="4" s="1"/>
  <c r="J54" i="4" s="1"/>
  <c r="F53" i="4"/>
  <c r="G53" i="4" s="1"/>
  <c r="J53" i="4" s="1"/>
  <c r="F52" i="4"/>
  <c r="G52" i="4" s="1"/>
  <c r="J52" i="4" s="1"/>
  <c r="F49" i="4"/>
  <c r="G49" i="4" s="1"/>
  <c r="J49" i="4" s="1"/>
  <c r="F16" i="4"/>
  <c r="G16" i="4" s="1"/>
  <c r="J16" i="4" s="1"/>
  <c r="F58" i="4"/>
  <c r="G58" i="4" s="1"/>
  <c r="J58" i="4" s="1"/>
  <c r="F57" i="4"/>
  <c r="G57" i="4" s="1"/>
  <c r="J57" i="4" s="1"/>
  <c r="F18" i="4"/>
  <c r="G18" i="4" s="1"/>
  <c r="J18" i="4" s="1"/>
  <c r="F17" i="4"/>
  <c r="G17" i="4" s="1"/>
  <c r="J17" i="4" s="1"/>
  <c r="F14" i="4"/>
  <c r="G14" i="4" s="1"/>
  <c r="J14" i="4" s="1"/>
  <c r="F10" i="4"/>
  <c r="G10" i="4" s="1"/>
  <c r="J10" i="4" s="1"/>
  <c r="F8" i="4"/>
  <c r="G8" i="4" s="1"/>
  <c r="J8" i="4" s="1"/>
  <c r="F7" i="4"/>
  <c r="G7" i="4" s="1"/>
  <c r="J7" i="4" s="1"/>
  <c r="F170" i="4"/>
  <c r="G170" i="4" s="1"/>
  <c r="J170" i="4" s="1"/>
  <c r="M170" i="4" s="1"/>
  <c r="F169" i="4"/>
  <c r="G169" i="4" s="1"/>
  <c r="J169" i="4" s="1"/>
  <c r="M169" i="4" s="1"/>
  <c r="F80" i="4"/>
  <c r="G80" i="4" s="1"/>
  <c r="J80" i="4" s="1"/>
  <c r="F79" i="4"/>
  <c r="G79" i="4" s="1"/>
  <c r="J79" i="4" s="1"/>
  <c r="F78" i="4"/>
  <c r="G78" i="4" s="1"/>
  <c r="J78" i="4" s="1"/>
  <c r="F77" i="4"/>
  <c r="G77" i="4" s="1"/>
  <c r="J77" i="4" s="1"/>
  <c r="F76" i="4"/>
  <c r="G76" i="4" s="1"/>
  <c r="J76" i="4" s="1"/>
  <c r="F163" i="4"/>
  <c r="G163" i="4" s="1"/>
  <c r="J163" i="4" s="1"/>
  <c r="M163" i="4" s="1"/>
  <c r="F162" i="4"/>
  <c r="G162" i="4" s="1"/>
  <c r="J162" i="4" s="1"/>
  <c r="M162" i="4" s="1"/>
  <c r="F161" i="4"/>
  <c r="G161" i="4" s="1"/>
  <c r="J161" i="4" s="1"/>
  <c r="M161" i="4" s="1"/>
  <c r="F160" i="4"/>
  <c r="G160" i="4" s="1"/>
  <c r="J160" i="4" s="1"/>
  <c r="M160" i="4" s="1"/>
  <c r="F159" i="4"/>
  <c r="G159" i="4" s="1"/>
  <c r="J159" i="4" s="1"/>
  <c r="M159" i="4" s="1"/>
  <c r="F75" i="4"/>
  <c r="G75" i="4" s="1"/>
  <c r="J75" i="4" s="1"/>
  <c r="F71" i="4"/>
  <c r="G71" i="4" s="1"/>
  <c r="J71" i="4" s="1"/>
  <c r="F70" i="4"/>
  <c r="G70" i="4" s="1"/>
  <c r="J70" i="4" s="1"/>
  <c r="F69" i="4"/>
  <c r="G69" i="4" s="1"/>
  <c r="J69" i="4" s="1"/>
  <c r="F68" i="4"/>
  <c r="G68" i="4" s="1"/>
  <c r="J68" i="4" s="1"/>
  <c r="F67" i="4"/>
  <c r="G67" i="4" s="1"/>
  <c r="J67" i="4" s="1"/>
  <c r="F66" i="4"/>
  <c r="G66" i="4" s="1"/>
  <c r="J66" i="4" s="1"/>
  <c r="F65" i="4"/>
  <c r="G65" i="4" s="1"/>
  <c r="J65" i="4" s="1"/>
  <c r="F64" i="4"/>
  <c r="G64" i="4" s="1"/>
  <c r="J64" i="4" s="1"/>
  <c r="F63" i="4"/>
  <c r="G63" i="4" s="1"/>
  <c r="J63" i="4" s="1"/>
  <c r="F62" i="4"/>
  <c r="G62" i="4" s="1"/>
  <c r="J62" i="4" s="1"/>
  <c r="F147" i="4"/>
  <c r="G147" i="4" s="1"/>
  <c r="J147" i="4" s="1"/>
  <c r="M147" i="4" s="1"/>
  <c r="F61" i="4"/>
  <c r="G61" i="4" s="1"/>
  <c r="J61" i="4" s="1"/>
  <c r="F41" i="4"/>
  <c r="G41" i="4" s="1"/>
  <c r="J41" i="4" s="1"/>
  <c r="F40" i="4"/>
  <c r="G40" i="4" s="1"/>
  <c r="J40" i="4" s="1"/>
  <c r="F34" i="4"/>
  <c r="G34" i="4" s="1"/>
  <c r="J34" i="4" s="1"/>
  <c r="F4" i="4"/>
  <c r="G4" i="4" s="1"/>
  <c r="J4" i="4" s="1"/>
  <c r="F184" i="4"/>
  <c r="G184" i="4" s="1"/>
  <c r="J184" i="4" s="1"/>
  <c r="F183" i="4"/>
  <c r="G183" i="4" s="1"/>
  <c r="J183" i="4" s="1"/>
  <c r="F182" i="4"/>
  <c r="G182" i="4" s="1"/>
  <c r="J182" i="4" s="1"/>
  <c r="F181" i="4"/>
  <c r="G181" i="4" s="1"/>
  <c r="J181" i="4" s="1"/>
  <c r="F137" i="4"/>
  <c r="G137" i="4" s="1"/>
  <c r="J137" i="4" s="1"/>
  <c r="M137" i="4" s="1"/>
  <c r="F180" i="4"/>
  <c r="G180" i="4" s="1"/>
  <c r="J180" i="4" s="1"/>
  <c r="F179" i="4"/>
  <c r="G179" i="4" s="1"/>
  <c r="J179" i="4" s="1"/>
  <c r="F178" i="4"/>
  <c r="G178" i="4" s="1"/>
  <c r="J178" i="4" s="1"/>
  <c r="F177" i="4"/>
  <c r="G177" i="4" s="1"/>
  <c r="J177" i="4" s="1"/>
  <c r="F176" i="4"/>
  <c r="G176" i="4" s="1"/>
  <c r="J176" i="4" s="1"/>
  <c r="F131" i="4"/>
  <c r="G131" i="4" s="1"/>
  <c r="J131" i="4" s="1"/>
  <c r="M131" i="4" s="1"/>
  <c r="F175" i="4"/>
  <c r="G175" i="4" s="1"/>
  <c r="J175" i="4" s="1"/>
  <c r="F174" i="4"/>
  <c r="G174" i="4" s="1"/>
  <c r="J174" i="4" s="1"/>
  <c r="F173" i="4"/>
  <c r="G173" i="4" s="1"/>
  <c r="J173" i="4" s="1"/>
  <c r="F172" i="4"/>
  <c r="G172" i="4" s="1"/>
  <c r="J172" i="4" s="1"/>
  <c r="F171" i="4"/>
  <c r="G171" i="4" s="1"/>
  <c r="J171" i="4" s="1"/>
  <c r="F168" i="4"/>
  <c r="G168" i="4" s="1"/>
  <c r="J168" i="4" s="1"/>
  <c r="F167" i="4"/>
  <c r="G167" i="4" s="1"/>
  <c r="J167" i="4" s="1"/>
  <c r="F166" i="4"/>
  <c r="G166" i="4" s="1"/>
  <c r="J166" i="4" s="1"/>
  <c r="F165" i="4"/>
  <c r="G165" i="4" s="1"/>
  <c r="J165" i="4" s="1"/>
  <c r="F164" i="4"/>
  <c r="G164" i="4" s="1"/>
  <c r="J164" i="4" s="1"/>
  <c r="F158" i="4"/>
  <c r="G158" i="4" s="1"/>
  <c r="J158" i="4" s="1"/>
  <c r="F157" i="4"/>
  <c r="G157" i="4" s="1"/>
  <c r="J157" i="4" s="1"/>
  <c r="F156" i="4"/>
  <c r="G156" i="4" s="1"/>
  <c r="J156" i="4" s="1"/>
  <c r="F155" i="4"/>
  <c r="G155" i="4" s="1"/>
  <c r="J155" i="4" s="1"/>
  <c r="F154" i="4"/>
  <c r="G154" i="4" s="1"/>
  <c r="J154" i="4" s="1"/>
  <c r="F115" i="4"/>
  <c r="G115" i="4" s="1"/>
  <c r="J115" i="4" s="1"/>
  <c r="M115" i="4" s="1"/>
  <c r="F153" i="4"/>
  <c r="G153" i="4" s="1"/>
  <c r="J153" i="4" s="1"/>
  <c r="F152" i="4"/>
  <c r="G152" i="4" s="1"/>
  <c r="J152" i="4" s="1"/>
  <c r="F151" i="4"/>
  <c r="G151" i="4" s="1"/>
  <c r="J151" i="4" s="1"/>
  <c r="F150" i="4"/>
  <c r="G150" i="4" s="1"/>
  <c r="J150" i="4" s="1"/>
  <c r="F149" i="4"/>
  <c r="G149" i="4" s="1"/>
  <c r="J149" i="4" s="1"/>
  <c r="F148" i="4"/>
  <c r="G148" i="4" s="1"/>
  <c r="J148" i="4" s="1"/>
  <c r="F146" i="4"/>
  <c r="G146" i="4" s="1"/>
  <c r="J146" i="4" s="1"/>
  <c r="F145" i="4"/>
  <c r="G145" i="4" s="1"/>
  <c r="J145" i="4" s="1"/>
  <c r="F144" i="4"/>
  <c r="G144" i="4" s="1"/>
  <c r="J144" i="4" s="1"/>
  <c r="F143" i="4"/>
  <c r="G143" i="4" s="1"/>
  <c r="J143" i="4" s="1"/>
  <c r="F142" i="4"/>
  <c r="G142" i="4" s="1"/>
  <c r="J142" i="4" s="1"/>
  <c r="F141" i="4"/>
  <c r="G141" i="4" s="1"/>
  <c r="J141" i="4" s="1"/>
  <c r="F140" i="4"/>
  <c r="G140" i="4" s="1"/>
  <c r="J140" i="4" s="1"/>
  <c r="F139" i="4"/>
  <c r="G139" i="4" s="1"/>
  <c r="J139" i="4" s="1"/>
  <c r="F138" i="4"/>
  <c r="G138" i="4" s="1"/>
  <c r="J138" i="4" s="1"/>
  <c r="F136" i="4"/>
  <c r="G136" i="4" s="1"/>
  <c r="J136" i="4" s="1"/>
  <c r="F135" i="4"/>
  <c r="G135" i="4" s="1"/>
  <c r="J135" i="4" s="1"/>
  <c r="F134" i="4"/>
  <c r="G134" i="4" s="1"/>
  <c r="J134" i="4" s="1"/>
  <c r="F133" i="4"/>
  <c r="G133" i="4" s="1"/>
  <c r="J133" i="4" s="1"/>
  <c r="F132" i="4"/>
  <c r="G132" i="4" s="1"/>
  <c r="J132" i="4" s="1"/>
  <c r="F130" i="4"/>
  <c r="G130" i="4" s="1"/>
  <c r="J130" i="4" s="1"/>
  <c r="F129" i="4"/>
  <c r="G129" i="4" s="1"/>
  <c r="J129" i="4" s="1"/>
  <c r="F128" i="4"/>
  <c r="G128" i="4" s="1"/>
  <c r="J128" i="4" s="1"/>
  <c r="F127" i="4"/>
  <c r="G127" i="4" s="1"/>
  <c r="J127" i="4" s="1"/>
  <c r="F126" i="4"/>
  <c r="G126" i="4" s="1"/>
  <c r="J126" i="4" s="1"/>
  <c r="F125" i="4"/>
  <c r="G125" i="4" s="1"/>
  <c r="J125" i="4" s="1"/>
  <c r="F124" i="4"/>
  <c r="G124" i="4" s="1"/>
  <c r="J124" i="4" s="1"/>
  <c r="F123" i="4"/>
  <c r="G123" i="4" s="1"/>
  <c r="J123" i="4" s="1"/>
  <c r="F122" i="4"/>
  <c r="G122" i="4" s="1"/>
  <c r="J122" i="4" s="1"/>
  <c r="F121" i="4"/>
  <c r="G121" i="4" s="1"/>
  <c r="J121" i="4" s="1"/>
  <c r="F120" i="4"/>
  <c r="G120" i="4" s="1"/>
  <c r="J120" i="4" s="1"/>
  <c r="F119" i="4"/>
  <c r="G119" i="4" s="1"/>
  <c r="J119" i="4" s="1"/>
  <c r="F118" i="4"/>
  <c r="G118" i="4" s="1"/>
  <c r="J118" i="4" s="1"/>
  <c r="F117" i="4"/>
  <c r="G117" i="4" s="1"/>
  <c r="J117" i="4" s="1"/>
  <c r="F116" i="4"/>
  <c r="G116" i="4" s="1"/>
  <c r="J116" i="4" s="1"/>
  <c r="F114" i="4"/>
  <c r="G114" i="4" s="1"/>
  <c r="J114" i="4" s="1"/>
  <c r="F113" i="4"/>
  <c r="G113" i="4" s="1"/>
  <c r="J113" i="4" s="1"/>
  <c r="F112" i="4"/>
  <c r="G112" i="4" s="1"/>
  <c r="J112" i="4" s="1"/>
  <c r="F111" i="4"/>
  <c r="G111" i="4" s="1"/>
  <c r="J111" i="4" s="1"/>
  <c r="F110" i="4"/>
  <c r="G110" i="4" s="1"/>
  <c r="J110" i="4" s="1"/>
  <c r="F109" i="4"/>
  <c r="G109" i="4" s="1"/>
  <c r="J109" i="4" s="1"/>
  <c r="F73" i="4"/>
  <c r="G73" i="4" s="1"/>
  <c r="J73" i="4" s="1"/>
  <c r="M73" i="4" s="1"/>
  <c r="F72" i="4"/>
  <c r="G72" i="4" s="1"/>
  <c r="J72" i="4" s="1"/>
  <c r="M72" i="4" s="1"/>
  <c r="N72" i="4" s="1"/>
  <c r="N75" i="4" s="1"/>
  <c r="N78" i="4" s="1"/>
  <c r="N81" i="4" s="1"/>
  <c r="N84" i="4" s="1"/>
  <c r="N87" i="4" s="1"/>
  <c r="N90" i="4" s="1"/>
  <c r="N93" i="4" s="1"/>
  <c r="N96" i="4" s="1"/>
  <c r="N99" i="4" s="1"/>
  <c r="N102" i="4" s="1"/>
  <c r="N105" i="4" s="1"/>
  <c r="N108" i="4" s="1"/>
  <c r="N111" i="4" s="1"/>
  <c r="N114" i="4" s="1"/>
  <c r="N117" i="4" s="1"/>
  <c r="N120" i="4" s="1"/>
  <c r="N123" i="4" s="1"/>
  <c r="N126" i="4" s="1"/>
  <c r="N129" i="4" s="1"/>
  <c r="N132" i="4" s="1"/>
  <c r="N135" i="4" s="1"/>
  <c r="N138" i="4" s="1"/>
  <c r="N141" i="4" s="1"/>
  <c r="N144" i="4" s="1"/>
  <c r="F108" i="4"/>
  <c r="G108" i="4" s="1"/>
  <c r="J108" i="4" s="1"/>
  <c r="F107" i="4"/>
  <c r="G107" i="4" s="1"/>
  <c r="J107" i="4" s="1"/>
  <c r="F106" i="4"/>
  <c r="G106" i="4" s="1"/>
  <c r="J106" i="4" s="1"/>
  <c r="F105" i="4"/>
  <c r="G105" i="4" s="1"/>
  <c r="J105" i="4" s="1"/>
  <c r="F104" i="4"/>
  <c r="G104" i="4" s="1"/>
  <c r="J104" i="4" s="1"/>
  <c r="F103" i="4"/>
  <c r="G103" i="4" s="1"/>
  <c r="J103" i="4" s="1"/>
  <c r="F102" i="4"/>
  <c r="G102" i="4" s="1"/>
  <c r="J102" i="4" s="1"/>
  <c r="F101" i="4"/>
  <c r="G101" i="4" s="1"/>
  <c r="J101" i="4" s="1"/>
  <c r="F100" i="4"/>
  <c r="G100" i="4" s="1"/>
  <c r="J100" i="4" s="1"/>
  <c r="F99" i="4"/>
  <c r="G99" i="4" s="1"/>
  <c r="J99" i="4" s="1"/>
  <c r="F98" i="4"/>
  <c r="G98" i="4" s="1"/>
  <c r="J98" i="4" s="1"/>
  <c r="F97" i="4"/>
  <c r="G97" i="4" s="1"/>
  <c r="J97" i="4" s="1"/>
  <c r="F96" i="4"/>
  <c r="G96" i="4" s="1"/>
  <c r="J96" i="4" s="1"/>
  <c r="F95" i="4"/>
  <c r="G95" i="4" s="1"/>
  <c r="J95" i="4" s="1"/>
  <c r="F94" i="4"/>
  <c r="G94" i="4" s="1"/>
  <c r="J94" i="4" s="1"/>
  <c r="F93" i="4"/>
  <c r="G93" i="4" s="1"/>
  <c r="J93" i="4" s="1"/>
  <c r="F92" i="4"/>
  <c r="G92" i="4" s="1"/>
  <c r="J92" i="4" s="1"/>
  <c r="F91" i="4"/>
  <c r="G91" i="4" s="1"/>
  <c r="J91" i="4" s="1"/>
  <c r="F90" i="4"/>
  <c r="G90" i="4" s="1"/>
  <c r="J90" i="4" s="1"/>
  <c r="F89" i="4"/>
  <c r="G89" i="4" s="1"/>
  <c r="J89" i="4" s="1"/>
  <c r="F74" i="4"/>
  <c r="G74" i="4" s="1"/>
  <c r="J74" i="4" s="1"/>
  <c r="F50" i="4"/>
  <c r="G50" i="4" s="1"/>
  <c r="J50" i="4" s="1"/>
  <c r="M50" i="4" s="1"/>
  <c r="F185" i="4"/>
  <c r="G185" i="4" s="1"/>
  <c r="J185" i="4" s="1"/>
  <c r="F88" i="4"/>
  <c r="G88" i="4" s="1"/>
  <c r="J88" i="4" s="1"/>
  <c r="F87" i="4"/>
  <c r="G87" i="4" s="1"/>
  <c r="J87" i="4" s="1"/>
  <c r="F86" i="4"/>
  <c r="G86" i="4" s="1"/>
  <c r="J86" i="4" s="1"/>
  <c r="F85" i="4"/>
  <c r="G85" i="4" s="1"/>
  <c r="J85" i="4" s="1"/>
  <c r="F84" i="4"/>
  <c r="G84" i="4" s="1"/>
  <c r="J84" i="4" s="1"/>
  <c r="F83" i="4"/>
  <c r="G83" i="4" s="1"/>
  <c r="J83" i="4" s="1"/>
  <c r="F82" i="4"/>
  <c r="G82" i="4" s="1"/>
  <c r="J82" i="4" s="1"/>
  <c r="F81" i="4"/>
  <c r="G81" i="4" s="1"/>
  <c r="J81" i="4" s="1"/>
  <c r="F60" i="4"/>
  <c r="G60" i="4" s="1"/>
  <c r="J60" i="4" s="1"/>
  <c r="F59" i="4"/>
  <c r="G59" i="4" s="1"/>
  <c r="J59" i="4" s="1"/>
  <c r="F51" i="4"/>
  <c r="G51" i="4" s="1"/>
  <c r="J51" i="4" s="1"/>
  <c r="F48" i="4"/>
  <c r="G48" i="4" s="1"/>
  <c r="J48" i="4" s="1"/>
  <c r="F47" i="4"/>
  <c r="G47" i="4" s="1"/>
  <c r="J47" i="4" s="1"/>
  <c r="F46" i="4"/>
  <c r="G46" i="4" s="1"/>
  <c r="J46" i="4" s="1"/>
  <c r="F45" i="4"/>
  <c r="G45" i="4" s="1"/>
  <c r="J45" i="4" s="1"/>
  <c r="F44" i="4"/>
  <c r="G44" i="4" s="1"/>
  <c r="J44" i="4" s="1"/>
  <c r="F43" i="4"/>
  <c r="G43" i="4" s="1"/>
  <c r="J43" i="4" s="1"/>
  <c r="F31" i="4"/>
  <c r="G31" i="4" s="1"/>
  <c r="J31" i="4" s="1"/>
  <c r="M31" i="4" s="1"/>
  <c r="N31" i="4" s="1"/>
  <c r="N34" i="4" s="1"/>
  <c r="N37" i="4" s="1"/>
  <c r="N40" i="4" s="1"/>
  <c r="N43" i="4" s="1"/>
  <c r="N46" i="4" s="1"/>
  <c r="N49" i="4" s="1"/>
  <c r="N52" i="4" s="1"/>
  <c r="N55" i="4" s="1"/>
  <c r="N58" i="4" s="1"/>
  <c r="N61" i="4" s="1"/>
  <c r="N64" i="4" s="1"/>
  <c r="N67" i="4" s="1"/>
  <c r="N70" i="4" s="1"/>
  <c r="N73" i="4" s="1"/>
  <c r="N76" i="4" s="1"/>
  <c r="N79" i="4" s="1"/>
  <c r="N82" i="4" s="1"/>
  <c r="N85" i="4" s="1"/>
  <c r="N88" i="4" s="1"/>
  <c r="N91" i="4" s="1"/>
  <c r="N94" i="4" s="1"/>
  <c r="N97" i="4" s="1"/>
  <c r="N100" i="4" s="1"/>
  <c r="N103" i="4" s="1"/>
  <c r="N106" i="4" s="1"/>
  <c r="N109" i="4" s="1"/>
  <c r="N112" i="4" s="1"/>
  <c r="F42" i="4"/>
  <c r="G42" i="4" s="1"/>
  <c r="J42" i="4" s="1"/>
  <c r="F29" i="4"/>
  <c r="G29" i="4" s="1"/>
  <c r="J29" i="4" s="1"/>
  <c r="M29" i="4" s="1"/>
  <c r="F39" i="4"/>
  <c r="G39" i="4" s="1"/>
  <c r="J39" i="4" s="1"/>
  <c r="F38" i="4"/>
  <c r="G38" i="4" s="1"/>
  <c r="J38" i="4" s="1"/>
  <c r="F35" i="4"/>
  <c r="G35" i="4" s="1"/>
  <c r="J35" i="4" s="1"/>
  <c r="F33" i="4"/>
  <c r="G33" i="4" s="1"/>
  <c r="J33" i="4" s="1"/>
  <c r="F32" i="4"/>
  <c r="G32" i="4" s="1"/>
  <c r="J32" i="4" s="1"/>
  <c r="F23" i="4"/>
  <c r="G23" i="4" s="1"/>
  <c r="J23" i="4" s="1"/>
  <c r="M23" i="4" s="1"/>
  <c r="F30" i="4"/>
  <c r="G30" i="4" s="1"/>
  <c r="J30" i="4" s="1"/>
  <c r="F28" i="4"/>
  <c r="G28" i="4" s="1"/>
  <c r="J28" i="4" s="1"/>
  <c r="F27" i="4"/>
  <c r="G27" i="4" s="1"/>
  <c r="J27" i="4" s="1"/>
  <c r="F26" i="4"/>
  <c r="G26" i="4" s="1"/>
  <c r="J26" i="4" s="1"/>
  <c r="F25" i="4"/>
  <c r="G25" i="4" s="1"/>
  <c r="J25" i="4" s="1"/>
  <c r="F24" i="4"/>
  <c r="G24" i="4" s="1"/>
  <c r="J24" i="4" s="1"/>
  <c r="F22" i="4"/>
  <c r="G22" i="4" s="1"/>
  <c r="J22" i="4" s="1"/>
  <c r="F21" i="4"/>
  <c r="G21" i="4" s="1"/>
  <c r="J21" i="4" s="1"/>
  <c r="F20" i="4"/>
  <c r="G20" i="4" s="1"/>
  <c r="J20" i="4" s="1"/>
  <c r="F19" i="4"/>
  <c r="G19" i="4" s="1"/>
  <c r="J19" i="4" s="1"/>
  <c r="F15" i="4"/>
  <c r="G15" i="4" s="1"/>
  <c r="J15" i="4" s="1"/>
  <c r="F13" i="4"/>
  <c r="G13" i="4" s="1"/>
  <c r="J13" i="4" s="1"/>
  <c r="F12" i="4"/>
  <c r="G12" i="4" s="1"/>
  <c r="J12" i="4" s="1"/>
  <c r="F11" i="4"/>
  <c r="G11" i="4" s="1"/>
  <c r="J11" i="4" s="1"/>
  <c r="F9" i="4"/>
  <c r="G9" i="4" s="1"/>
  <c r="J9" i="4" s="1"/>
  <c r="F5" i="4"/>
  <c r="G5" i="4" s="1"/>
  <c r="F37" i="4"/>
  <c r="G37" i="4" s="1"/>
  <c r="J37" i="4" s="1"/>
  <c r="F36" i="4"/>
  <c r="G36" i="4" s="1"/>
  <c r="J36" i="4" s="1"/>
  <c r="F6" i="4"/>
  <c r="G6" i="4" s="1"/>
  <c r="J6" i="4" s="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Q35" i="1"/>
  <c r="Q99" i="1"/>
  <c r="Q131" i="1"/>
  <c r="Q163" i="1"/>
  <c r="P4" i="1"/>
  <c r="Q4" i="1" s="1"/>
  <c r="P5" i="1"/>
  <c r="Q5" i="1" s="1"/>
  <c r="P6" i="1"/>
  <c r="Q6" i="1" s="1"/>
  <c r="P7" i="1"/>
  <c r="Q7" i="1" s="1"/>
  <c r="P8" i="1"/>
  <c r="Q8" i="1" s="1"/>
  <c r="P9" i="1"/>
  <c r="Q9" i="1" s="1"/>
  <c r="P10" i="1"/>
  <c r="Q10" i="1" s="1"/>
  <c r="P11" i="1"/>
  <c r="Q11"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62" i="1"/>
  <c r="Q62" i="1" s="1"/>
  <c r="P63" i="1"/>
  <c r="Q63" i="1" s="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80" i="1"/>
  <c r="Q80" i="1" s="1"/>
  <c r="P81" i="1"/>
  <c r="Q81" i="1" s="1"/>
  <c r="P82" i="1"/>
  <c r="Q82" i="1" s="1"/>
  <c r="P83" i="1"/>
  <c r="Q83" i="1" s="1"/>
  <c r="P84" i="1"/>
  <c r="Q84" i="1" s="1"/>
  <c r="P85" i="1"/>
  <c r="Q85" i="1" s="1"/>
  <c r="P86" i="1"/>
  <c r="Q86" i="1" s="1"/>
  <c r="P87" i="1"/>
  <c r="Q87" i="1" s="1"/>
  <c r="P88" i="1"/>
  <c r="Q88" i="1" s="1"/>
  <c r="P89" i="1"/>
  <c r="Q89" i="1" s="1"/>
  <c r="P90" i="1"/>
  <c r="Q90" i="1" s="1"/>
  <c r="P91" i="1"/>
  <c r="Q91" i="1" s="1"/>
  <c r="P92" i="1"/>
  <c r="Q92" i="1" s="1"/>
  <c r="P93" i="1"/>
  <c r="Q93" i="1" s="1"/>
  <c r="P94" i="1"/>
  <c r="Q94" i="1" s="1"/>
  <c r="P95" i="1"/>
  <c r="Q95" i="1" s="1"/>
  <c r="P96" i="1"/>
  <c r="Q96" i="1" s="1"/>
  <c r="P97" i="1"/>
  <c r="Q97" i="1" s="1"/>
  <c r="P98" i="1"/>
  <c r="Q98" i="1" s="1"/>
  <c r="P99" i="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113" i="1"/>
  <c r="Q113" i="1" s="1"/>
  <c r="P114" i="1"/>
  <c r="Q114" i="1" s="1"/>
  <c r="P115" i="1"/>
  <c r="Q115" i="1" s="1"/>
  <c r="P116" i="1"/>
  <c r="Q116" i="1" s="1"/>
  <c r="P117" i="1"/>
  <c r="Q117" i="1" s="1"/>
  <c r="P118" i="1"/>
  <c r="Q118" i="1" s="1"/>
  <c r="P119" i="1"/>
  <c r="Q119"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P132" i="1"/>
  <c r="Q132" i="1" s="1"/>
  <c r="P133" i="1"/>
  <c r="Q133" i="1" s="1"/>
  <c r="P134" i="1"/>
  <c r="Q134" i="1" s="1"/>
  <c r="P135" i="1"/>
  <c r="Q135" i="1" s="1"/>
  <c r="P136" i="1"/>
  <c r="Q136" i="1" s="1"/>
  <c r="P137" i="1"/>
  <c r="Q137" i="1" s="1"/>
  <c r="P138" i="1"/>
  <c r="Q138" i="1" s="1"/>
  <c r="P139" i="1"/>
  <c r="Q139" i="1" s="1"/>
  <c r="P140" i="1"/>
  <c r="Q140" i="1" s="1"/>
  <c r="P141" i="1"/>
  <c r="Q141" i="1" s="1"/>
  <c r="P142" i="1"/>
  <c r="Q142" i="1" s="1"/>
  <c r="P143" i="1"/>
  <c r="Q143" i="1" s="1"/>
  <c r="P144" i="1"/>
  <c r="Q144" i="1" s="1"/>
  <c r="P145" i="1"/>
  <c r="Q145" i="1" s="1"/>
  <c r="P146" i="1"/>
  <c r="Q146" i="1" s="1"/>
  <c r="P147" i="1"/>
  <c r="Q147" i="1" s="1"/>
  <c r="P148" i="1"/>
  <c r="Q148" i="1" s="1"/>
  <c r="P149" i="1"/>
  <c r="Q149" i="1" s="1"/>
  <c r="P150" i="1"/>
  <c r="Q150" i="1" s="1"/>
  <c r="P151" i="1"/>
  <c r="Q151" i="1" s="1"/>
  <c r="P152" i="1"/>
  <c r="Q152" i="1" s="1"/>
  <c r="P153" i="1"/>
  <c r="Q153" i="1" s="1"/>
  <c r="P154" i="1"/>
  <c r="Q154" i="1" s="1"/>
  <c r="P155" i="1"/>
  <c r="Q155" i="1" s="1"/>
  <c r="P156" i="1"/>
  <c r="Q156" i="1" s="1"/>
  <c r="P157" i="1"/>
  <c r="Q157" i="1" s="1"/>
  <c r="P158" i="1"/>
  <c r="Q158" i="1" s="1"/>
  <c r="P159" i="1"/>
  <c r="Q159" i="1" s="1"/>
  <c r="P160" i="1"/>
  <c r="Q160" i="1" s="1"/>
  <c r="P161" i="1"/>
  <c r="Q161" i="1" s="1"/>
  <c r="P162" i="1"/>
  <c r="Q162" i="1" s="1"/>
  <c r="P163" i="1"/>
  <c r="P164" i="1"/>
  <c r="Q164" i="1" s="1"/>
  <c r="P165" i="1"/>
  <c r="Q165" i="1" s="1"/>
  <c r="P166" i="1"/>
  <c r="Q166" i="1" s="1"/>
  <c r="P167" i="1"/>
  <c r="Q167" i="1" s="1"/>
  <c r="P168" i="1"/>
  <c r="Q168" i="1" s="1"/>
  <c r="P169" i="1"/>
  <c r="Q169" i="1" s="1"/>
  <c r="P170" i="1"/>
  <c r="Q170" i="1" s="1"/>
  <c r="P171" i="1"/>
  <c r="Q171" i="1" s="1"/>
  <c r="P172" i="1"/>
  <c r="Q172" i="1" s="1"/>
  <c r="P173" i="1"/>
  <c r="Q173" i="1" s="1"/>
  <c r="P174" i="1"/>
  <c r="Q174" i="1" s="1"/>
  <c r="P175" i="1"/>
  <c r="Q175" i="1" s="1"/>
  <c r="P176" i="1"/>
  <c r="Q176" i="1" s="1"/>
  <c r="P177" i="1"/>
  <c r="Q177" i="1" s="1"/>
  <c r="P178" i="1"/>
  <c r="Q178" i="1" s="1"/>
  <c r="P179" i="1"/>
  <c r="Q179" i="1" s="1"/>
  <c r="P180" i="1"/>
  <c r="Q180" i="1" s="1"/>
  <c r="P181" i="1"/>
  <c r="Q181" i="1" s="1"/>
  <c r="P182" i="1"/>
  <c r="Q182" i="1" s="1"/>
  <c r="P183" i="1"/>
  <c r="Q183" i="1" s="1"/>
  <c r="P184" i="1"/>
  <c r="Q184" i="1" s="1"/>
  <c r="P185" i="1"/>
  <c r="Q185" i="1" s="1"/>
  <c r="P186" i="1"/>
  <c r="Q186" i="1" s="1"/>
  <c r="N115" i="4" l="1"/>
  <c r="N118" i="4" s="1"/>
  <c r="N121" i="4" s="1"/>
  <c r="N124" i="4" s="1"/>
  <c r="N127" i="4" s="1"/>
  <c r="N130" i="4" s="1"/>
  <c r="N133" i="4" s="1"/>
  <c r="N136" i="4" s="1"/>
  <c r="N139" i="4" s="1"/>
  <c r="N142" i="4" s="1"/>
  <c r="N145" i="4" s="1"/>
  <c r="N148" i="4" s="1"/>
  <c r="N151" i="4" s="1"/>
  <c r="N154" i="4" s="1"/>
  <c r="N157" i="4" s="1"/>
  <c r="N160" i="4" s="1"/>
  <c r="N163" i="4" s="1"/>
  <c r="N166" i="4" s="1"/>
  <c r="N169" i="4" s="1"/>
  <c r="N172" i="4" s="1"/>
  <c r="N175" i="4" s="1"/>
  <c r="N178" i="4" s="1"/>
  <c r="N181" i="4" s="1"/>
  <c r="N184" i="4" s="1"/>
  <c r="N147" i="4"/>
  <c r="N150" i="4" s="1"/>
  <c r="N153" i="4" s="1"/>
  <c r="N156" i="4" s="1"/>
  <c r="N159" i="4" s="1"/>
  <c r="N162" i="4" s="1"/>
  <c r="N165" i="4" s="1"/>
  <c r="N168" i="4" s="1"/>
  <c r="N171" i="4" s="1"/>
  <c r="N174" i="4" s="1"/>
  <c r="N177" i="4" s="1"/>
  <c r="N180" i="4" s="1"/>
  <c r="N183" i="4" s="1"/>
  <c r="J5" i="4"/>
  <c r="N5" i="4"/>
  <c r="N8" i="4" s="1"/>
  <c r="N11" i="4" s="1"/>
  <c r="N14" i="4" s="1"/>
  <c r="N17" i="4" s="1"/>
  <c r="N20" i="4" s="1"/>
  <c r="N23" i="4" s="1"/>
  <c r="N26" i="4" s="1"/>
  <c r="N29" i="4" s="1"/>
  <c r="N32" i="4" s="1"/>
  <c r="N35" i="4" s="1"/>
  <c r="N38" i="4" s="1"/>
  <c r="N41" i="4" s="1"/>
  <c r="N44" i="4" s="1"/>
  <c r="N47" i="4" s="1"/>
  <c r="N50" i="4" s="1"/>
  <c r="N53" i="4" s="1"/>
  <c r="N56" i="4" s="1"/>
  <c r="N59" i="4" s="1"/>
  <c r="N62" i="4" s="1"/>
  <c r="N65" i="4" s="1"/>
  <c r="N68" i="4" s="1"/>
  <c r="N71" i="4" s="1"/>
  <c r="N74" i="4" s="1"/>
  <c r="N77" i="4" s="1"/>
  <c r="N80" i="4" s="1"/>
  <c r="N83" i="4" s="1"/>
  <c r="N86" i="4" s="1"/>
  <c r="N89" i="4" s="1"/>
  <c r="N92" i="4" s="1"/>
  <c r="N95" i="4" s="1"/>
  <c r="N98" i="4" s="1"/>
  <c r="N101" i="4" s="1"/>
  <c r="N104" i="4" s="1"/>
  <c r="N107" i="4" s="1"/>
  <c r="N110" i="4" s="1"/>
  <c r="N113" i="4" s="1"/>
  <c r="N116" i="4" s="1"/>
  <c r="N119" i="4" s="1"/>
  <c r="N122" i="4" s="1"/>
  <c r="N125" i="4" s="1"/>
  <c r="N128" i="4" s="1"/>
  <c r="N131" i="4" s="1"/>
  <c r="N134" i="4" s="1"/>
  <c r="N137" i="4" s="1"/>
  <c r="N140" i="4" s="1"/>
  <c r="N143" i="4" s="1"/>
  <c r="N146" i="4" s="1"/>
  <c r="N149" i="4" s="1"/>
  <c r="N152" i="4" s="1"/>
  <c r="N155" i="4" s="1"/>
  <c r="N158" i="4" s="1"/>
  <c r="N161" i="4" s="1"/>
  <c r="N164" i="4" s="1"/>
  <c r="N167" i="4" s="1"/>
  <c r="N170" i="4" s="1"/>
  <c r="N173" i="4" s="1"/>
  <c r="N176" i="4" s="1"/>
  <c r="N179" i="4" s="1"/>
  <c r="N182" i="4" s="1"/>
  <c r="N1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Claus Nissen</author>
  </authors>
  <commentList>
    <comment ref="E17" authorId="0" shapeId="0" xr:uid="{B0237434-8392-4C98-ACB6-190492114BE2}">
      <text>
        <r>
          <rPr>
            <b/>
            <sz val="10"/>
            <color indexed="81"/>
            <rFont val="Tahoma"/>
            <family val="2"/>
          </rPr>
          <t>Claus Nissen:</t>
        </r>
        <r>
          <rPr>
            <sz val="10"/>
            <color indexed="81"/>
            <rFont val="Tahoma"/>
            <family val="2"/>
          </rPr>
          <t xml:space="preserve">
størrelse + farve sytråd</t>
        </r>
      </text>
    </comment>
    <comment ref="E18" authorId="0" shapeId="0" xr:uid="{100CD5F4-92D9-4298-80E1-708287D66994}">
      <text>
        <r>
          <rPr>
            <b/>
            <sz val="10"/>
            <color indexed="81"/>
            <rFont val="Tahoma"/>
            <family val="2"/>
          </rPr>
          <t>Claus Nissen:</t>
        </r>
        <r>
          <rPr>
            <sz val="10"/>
            <color indexed="81"/>
            <rFont val="Tahoma"/>
            <family val="2"/>
          </rPr>
          <t xml:space="preserve">
størrelse + farve systråd</t>
        </r>
      </text>
    </comment>
    <comment ref="E19" authorId="0" shapeId="0" xr:uid="{D4C7092D-9143-4107-B88D-511F8A44D396}">
      <text>
        <r>
          <rPr>
            <b/>
            <sz val="10"/>
            <color indexed="81"/>
            <rFont val="Tahoma"/>
            <family val="2"/>
          </rPr>
          <t>Claus Nissen:</t>
        </r>
        <r>
          <rPr>
            <sz val="10"/>
            <color indexed="81"/>
            <rFont val="Tahoma"/>
            <family val="2"/>
          </rPr>
          <t xml:space="preserve">
størrelse + farve sytråd</t>
        </r>
      </text>
    </comment>
    <comment ref="C21" authorId="0" shapeId="0" xr:uid="{377A0222-98D7-4C23-9F64-96D70E6A02B9}">
      <text>
        <r>
          <rPr>
            <b/>
            <sz val="10"/>
            <color indexed="81"/>
            <rFont val="Tahoma"/>
            <family val="2"/>
          </rPr>
          <t>Claus Nissen:</t>
        </r>
        <r>
          <rPr>
            <sz val="10"/>
            <color indexed="81"/>
            <rFont val="Tahoma"/>
            <family val="2"/>
          </rPr>
          <t xml:space="preserve">
er det 784 eller 631A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Mette Sandfeld</author>
  </authors>
  <commentList>
    <comment ref="R5" authorId="0" shapeId="0" xr:uid="{BF99FD9F-0C08-4753-91F8-63AC984EA447}">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R9" authorId="0" shapeId="0" xr:uid="{9F3C18F5-86DD-48AD-8D36-6D82AC886778}">
      <text>
        <r>
          <rPr>
            <b/>
            <sz val="9"/>
            <color indexed="81"/>
            <rFont val="Tahoma"/>
            <family val="2"/>
          </rPr>
          <t>Mette Sandfeld:</t>
        </r>
        <r>
          <rPr>
            <sz val="9"/>
            <color indexed="81"/>
            <rFont val="Tahoma"/>
            <family val="2"/>
          </rPr>
          <t xml:space="preserve">
Til 90x210 seng
Sort tråd</t>
        </r>
      </text>
    </comment>
    <comment ref="R10" authorId="0" shapeId="0" xr:uid="{1A3CEC61-999A-42A8-91DE-ACF6A0EDF504}">
      <text>
        <r>
          <rPr>
            <b/>
            <sz val="9"/>
            <color indexed="81"/>
            <rFont val="Tahoma"/>
            <family val="2"/>
          </rPr>
          <t>Mette Sandfeld:</t>
        </r>
        <r>
          <rPr>
            <sz val="9"/>
            <color indexed="81"/>
            <rFont val="Tahoma"/>
            <family val="2"/>
          </rPr>
          <t xml:space="preserve">
Til både 140+160x210 senge.
Men der findes også et lagen i 180x290cm
Rød tråd</t>
        </r>
      </text>
    </comment>
    <comment ref="R11" authorId="0" shapeId="0" xr:uid="{53FF2FE4-D5D9-4D3B-BCED-FA22AAFBA821}">
      <text>
        <r>
          <rPr>
            <b/>
            <sz val="9"/>
            <color indexed="81"/>
            <rFont val="Tahoma"/>
            <family val="2"/>
          </rPr>
          <t>Mette Sandfeld:</t>
        </r>
        <r>
          <rPr>
            <sz val="9"/>
            <color indexed="81"/>
            <rFont val="Tahoma"/>
            <family val="2"/>
          </rPr>
          <t xml:space="preserve">
Bruges til 200x200 seng
Gul tråd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Mette Sandfeld</author>
  </authors>
  <commentList>
    <comment ref="D3" authorId="0" shapeId="0" xr:uid="{CD4A624E-9DA1-4DF1-9F1D-C15FA632E724}">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Q3" authorId="0" shapeId="0" xr:uid="{655E0A1B-DFC3-4A24-88F0-977523C753E2}">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D7" authorId="0" shapeId="0" xr:uid="{6EFE3610-95D6-4FCB-AED7-C25363047413}">
      <text>
        <r>
          <rPr>
            <b/>
            <sz val="9"/>
            <color indexed="81"/>
            <rFont val="Tahoma"/>
            <family val="2"/>
          </rPr>
          <t>Mette Sandfeld:</t>
        </r>
        <r>
          <rPr>
            <sz val="9"/>
            <color indexed="81"/>
            <rFont val="Tahoma"/>
            <family val="2"/>
          </rPr>
          <t xml:space="preserve">
Til 90x210 seng
Sort tråd</t>
        </r>
      </text>
    </comment>
    <comment ref="Q7" authorId="0" shapeId="0" xr:uid="{93EBB6DA-EB4D-499E-B440-BC7BBC66164D}">
      <text>
        <r>
          <rPr>
            <b/>
            <sz val="9"/>
            <color indexed="81"/>
            <rFont val="Tahoma"/>
            <family val="2"/>
          </rPr>
          <t>Mette Sandfeld:</t>
        </r>
        <r>
          <rPr>
            <sz val="9"/>
            <color indexed="81"/>
            <rFont val="Tahoma"/>
            <family val="2"/>
          </rPr>
          <t xml:space="preserve">
Til 90x210 seng
Sort tråd</t>
        </r>
      </text>
    </comment>
    <comment ref="D8" authorId="0" shapeId="0" xr:uid="{60A85622-6F22-49F6-902D-8F4932118A45}">
      <text>
        <r>
          <rPr>
            <b/>
            <sz val="9"/>
            <color indexed="81"/>
            <rFont val="Tahoma"/>
            <family val="2"/>
          </rPr>
          <t>Mette Sandfeld:</t>
        </r>
        <r>
          <rPr>
            <sz val="9"/>
            <color indexed="81"/>
            <rFont val="Tahoma"/>
            <family val="2"/>
          </rPr>
          <t xml:space="preserve">
Til både 140+160x210 senge.
Men der findes også et lagen i 180x290cm
Rød tråd</t>
        </r>
      </text>
    </comment>
    <comment ref="Q8" authorId="0" shapeId="0" xr:uid="{44B57E79-8ABE-43EF-99DB-5192E3AA1EBD}">
      <text>
        <r>
          <rPr>
            <b/>
            <sz val="9"/>
            <color indexed="81"/>
            <rFont val="Tahoma"/>
            <family val="2"/>
          </rPr>
          <t>Mette Sandfeld:</t>
        </r>
        <r>
          <rPr>
            <sz val="9"/>
            <color indexed="81"/>
            <rFont val="Tahoma"/>
            <family val="2"/>
          </rPr>
          <t xml:space="preserve">
Til både 140+160x210 senge.
Men der findes også et lagen i 180x290cm
Rød tråd</t>
        </r>
      </text>
    </comment>
    <comment ref="D9" authorId="0" shapeId="0" xr:uid="{E9CB7BB2-6353-4D7C-8739-37B41F45C641}">
      <text>
        <r>
          <rPr>
            <b/>
            <sz val="9"/>
            <color indexed="81"/>
            <rFont val="Tahoma"/>
            <family val="2"/>
          </rPr>
          <t>Mette Sandfeld:</t>
        </r>
        <r>
          <rPr>
            <sz val="9"/>
            <color indexed="81"/>
            <rFont val="Tahoma"/>
            <family val="2"/>
          </rPr>
          <t xml:space="preserve">
Bruges til 200x200 seng
Gul tråd</t>
        </r>
      </text>
    </comment>
    <comment ref="Q9" authorId="0" shapeId="0" xr:uid="{5A02623D-FD19-4E92-811C-86BD027093F9}">
      <text>
        <r>
          <rPr>
            <b/>
            <sz val="9"/>
            <color indexed="81"/>
            <rFont val="Tahoma"/>
            <family val="2"/>
          </rPr>
          <t>Mette Sandfeld:</t>
        </r>
        <r>
          <rPr>
            <sz val="9"/>
            <color indexed="81"/>
            <rFont val="Tahoma"/>
            <family val="2"/>
          </rPr>
          <t xml:space="preserve">
Bruges til 200x200 seng
Gul tråd</t>
        </r>
      </text>
    </comment>
  </commentList>
</comments>
</file>

<file path=xl/sharedStrings.xml><?xml version="1.0" encoding="utf-8"?>
<sst xmlns="http://schemas.openxmlformats.org/spreadsheetml/2006/main" count="2961" uniqueCount="805">
  <si>
    <t>Vøra</t>
  </si>
  <si>
    <t>Jan</t>
  </si>
  <si>
    <t>Feb</t>
  </si>
  <si>
    <t>Mar</t>
  </si>
  <si>
    <t>Apr</t>
  </si>
  <si>
    <t>Mai</t>
  </si>
  <si>
    <t>Jun</t>
  </si>
  <si>
    <t>Aug</t>
  </si>
  <si>
    <t>Sep</t>
  </si>
  <si>
    <t>Okt</t>
  </si>
  <si>
    <t>Nov</t>
  </si>
  <si>
    <t>Des</t>
  </si>
  <si>
    <t>Alt Arid</t>
  </si>
  <si>
    <t>10658 - Dýnuvár / Røkt</t>
  </si>
  <si>
    <t>10659 - Dýnuvár / Hotel</t>
  </si>
  <si>
    <t>10660 - Dýnuvár ogn hylton</t>
  </si>
  <si>
    <t>10698 - Dýnuvár skip</t>
  </si>
  <si>
    <t>10718 - Løk skip</t>
  </si>
  <si>
    <t>10758 - Sveet løk</t>
  </si>
  <si>
    <t>10759 - Pútevár skip</t>
  </si>
  <si>
    <t>11238 - Handklæði stórt útleiðan</t>
  </si>
  <si>
    <t>11239 - Handklæði lítið útleigan</t>
  </si>
  <si>
    <t>11258 - Løk hotel</t>
  </si>
  <si>
    <t>11278 - Bæðikápa skip</t>
  </si>
  <si>
    <t>11318 - Bæðikápa Havgrím</t>
  </si>
  <si>
    <t>11338 - Dýnuvár Airbnb</t>
  </si>
  <si>
    <t>11358 - Handklæði stór skip</t>
  </si>
  <si>
    <t>11438 - Sveet løk skip</t>
  </si>
  <si>
    <t>11538 - Handklæði Bæði Havgrím</t>
  </si>
  <si>
    <t>11558 - Bæðimáttir frotte</t>
  </si>
  <si>
    <t>11578 - Serviettar hvítir</t>
  </si>
  <si>
    <t>11579 - Viskestykkir</t>
  </si>
  <si>
    <t>11582 - Eygnalappar frotte</t>
  </si>
  <si>
    <t>11584 - Tvøgur / klútar egin ogn</t>
  </si>
  <si>
    <t>11585 - Posar /sekkir</t>
  </si>
  <si>
    <t>11598 - Pútevár hotel</t>
  </si>
  <si>
    <t>11638 - kokka Jakkar</t>
  </si>
  <si>
    <t>11640 - kokka svintir</t>
  </si>
  <si>
    <t>11658 - kokka húgva</t>
  </si>
  <si>
    <t>11678 - Pútevár stór</t>
  </si>
  <si>
    <t>11698 - Serviettar gráir Brandan</t>
  </si>
  <si>
    <t>11699 - Pútevár røkt</t>
  </si>
  <si>
    <t>11700 - Løk gul stikning</t>
  </si>
  <si>
    <t>11701 - Dýnuvár blá stikning Hilton</t>
  </si>
  <si>
    <t>11702 - Dýnuvár grøn stikning Hilton</t>
  </si>
  <si>
    <t>11706 - Handklæði stórt clifton</t>
  </si>
  <si>
    <t>11707 - Handklæði lítil cllifton</t>
  </si>
  <si>
    <t>11718 - Blanda klæðir Røkt</t>
  </si>
  <si>
    <t>11719 - Løk Røkt</t>
  </si>
  <si>
    <t>11798 - Skjúrtir Búnar Hotel</t>
  </si>
  <si>
    <t>11819 - Kjólar búnar hotel</t>
  </si>
  <si>
    <t>11879 - Brúseforheng</t>
  </si>
  <si>
    <t>11898 - Teppir</t>
  </si>
  <si>
    <t>11900 - T-Shirt uttan ermar búnar hotel</t>
  </si>
  <si>
    <t>11998 - Rullimadras /madrassebetrek</t>
  </si>
  <si>
    <t>12038 - Dýnuvár barna</t>
  </si>
  <si>
    <t>12039 - Løk barna</t>
  </si>
  <si>
    <t>12058 - Pútevár barna</t>
  </si>
  <si>
    <t>12178 - Blanda Klæðir</t>
  </si>
  <si>
    <t>12198 - Kokka svintir</t>
  </si>
  <si>
    <t>12199 - Blanda klæðir alment</t>
  </si>
  <si>
    <t>12218 - Løk Airbnb</t>
  </si>
  <si>
    <t>12238 - Handklæði srór Airbnb</t>
  </si>
  <si>
    <t>12258 - Pútevár  Airbnb</t>
  </si>
  <si>
    <t>12259 - Handklæði lítil Airbnb</t>
  </si>
  <si>
    <t>12418 - Fasongløk dubult skip</t>
  </si>
  <si>
    <t>12438 - Bæðikápa egin ogn</t>
  </si>
  <si>
    <t>12838 - Fasongløk dubult</t>
  </si>
  <si>
    <t>13118 - Stikkløk</t>
  </si>
  <si>
    <t>13119 - Halahandklæði gul</t>
  </si>
  <si>
    <t>13120 - Handklæði Tunn</t>
  </si>
  <si>
    <t>13121 - Spísestykkir</t>
  </si>
  <si>
    <t>13123 - Smekkir</t>
  </si>
  <si>
    <t>13125 - Høvdapúta røkt</t>
  </si>
  <si>
    <t>13138 - Posar/ sekkir røkt</t>
  </si>
  <si>
    <t>13158 - Eygnalappar frotte røkt</t>
  </si>
  <si>
    <t>13159 - Viskestykkir røkt</t>
  </si>
  <si>
    <t>13178 - Handklæði frottte stórt røkt</t>
  </si>
  <si>
    <t>13198 - Handklæði frotte lítil røkt</t>
  </si>
  <si>
    <t>13218 - Dúkar egin ogn</t>
  </si>
  <si>
    <t>13238 - 3 - Dúkar 240 cm  LS</t>
  </si>
  <si>
    <t>13298 - Bekken stykkir</t>
  </si>
  <si>
    <t>13318 - 14 - Dýnir LS</t>
  </si>
  <si>
    <t>13358 - Tvøgur/klútar  Røkt</t>
  </si>
  <si>
    <t>13519 - Dýnuvár alment</t>
  </si>
  <si>
    <t>13520 - Løk alment</t>
  </si>
  <si>
    <t>13521 - Pútevár alment</t>
  </si>
  <si>
    <t>13522 - Stikkløk alment</t>
  </si>
  <si>
    <t>13523 - Posar /Sekkir alment</t>
  </si>
  <si>
    <t>13524 - Handklæði stór alment</t>
  </si>
  <si>
    <t>13558 - Handklæði lítil alment</t>
  </si>
  <si>
    <t>13561 - Viskestykkir alment</t>
  </si>
  <si>
    <t>13570 - Uniformar alment</t>
  </si>
  <si>
    <t>13574 - Dýna røkt</t>
  </si>
  <si>
    <t>13598 - Moppir</t>
  </si>
  <si>
    <t>13620 - Blusa</t>
  </si>
  <si>
    <t>14578 - Blanda  Ls klæðir  Røkt</t>
  </si>
  <si>
    <t>21918 - Pútevár Skánebetrekk</t>
  </si>
  <si>
    <t>22083 - Dúkar 150 x150 rund borð</t>
  </si>
  <si>
    <t>22084 - Dúkar  180x180 rund borð</t>
  </si>
  <si>
    <t>22126 - Serviettar farvaðir</t>
  </si>
  <si>
    <t>22383 - Dúkar 140 x 100</t>
  </si>
  <si>
    <t>22384 - Dúkar 140 x 200</t>
  </si>
  <si>
    <t>22385 - Dúkar 140 x 240</t>
  </si>
  <si>
    <t>22625 - 1 - Baðihandkløð LS</t>
  </si>
  <si>
    <t>22626 - 1 - Halahandkløð LS</t>
  </si>
  <si>
    <t>22627 - 1 - Handkløð tunn LS</t>
  </si>
  <si>
    <t>22629 - 1 - Smekkir LS</t>
  </si>
  <si>
    <t>22630 - 2 - Bækkenstykkir LS</t>
  </si>
  <si>
    <t>22631 - 2 - Grøn stykkir LS</t>
  </si>
  <si>
    <t>22632 - 2 - Spísustykkir LS</t>
  </si>
  <si>
    <t>22633 - 2 - Viskustykkir LS</t>
  </si>
  <si>
    <t>22634 - 3 - Børuløk LS</t>
  </si>
  <si>
    <t>22635 - 3 - Dýnuvár baby LS</t>
  </si>
  <si>
    <t>22636 - 3 - Dýnuvár junior LS</t>
  </si>
  <si>
    <t>22637 - 3 - Dýnuvár vanligt LS</t>
  </si>
  <si>
    <t>22638 - 3 - Løk LS</t>
  </si>
  <si>
    <t>22639 - 3 - Løk baby LS</t>
  </si>
  <si>
    <t>22640 - 3 - Løk junior LS</t>
  </si>
  <si>
    <t>22641 - 3 - Pútuvár LS</t>
  </si>
  <si>
    <t>22642 - 3 - Pútuvár junior LS</t>
  </si>
  <si>
    <t>22643 - 3 - Stikkløk LS</t>
  </si>
  <si>
    <t>22644 - 4 -Armslynga/belti fys/svimjidragt LS</t>
  </si>
  <si>
    <t>22645 - 4 - Fyriklæðir LS</t>
  </si>
  <si>
    <t>22646 - 4 - Glíðuløk LS</t>
  </si>
  <si>
    <t>22647 - 4 - Kimono LS</t>
  </si>
  <si>
    <t>22648 - 4 - Eygnalappar pr stk (posi 40 stk) LS</t>
  </si>
  <si>
    <t>22649 - 4 - Portørteppir LS</t>
  </si>
  <si>
    <t>22650 - 4 - Posar LS</t>
  </si>
  <si>
    <t>22651 - 4 - Segl LS</t>
  </si>
  <si>
    <t>22652 - 4 - Sokkar par (30 par í posa) LS</t>
  </si>
  <si>
    <t>22653 - 4 - Teppir LS</t>
  </si>
  <si>
    <t>22654 - 5 - Boxer LS</t>
  </si>
  <si>
    <t>22655 - 5 - Langar undirbuksur LS</t>
  </si>
  <si>
    <t>22656 - 5 - Skjúrtur LS</t>
  </si>
  <si>
    <t>22657 - 5 - Skjúrtur opnar LS</t>
  </si>
  <si>
    <t>22658 - 5 - Trussur kvinnur LS</t>
  </si>
  <si>
    <t>22659 - 5 - Trussur menn LS</t>
  </si>
  <si>
    <t>22660 - 5 - Undirtroyggur LS</t>
  </si>
  <si>
    <t>22661 - 5 - Undirtroygur strop LS</t>
  </si>
  <si>
    <t>22662 - 6 - A2 buksur LS</t>
  </si>
  <si>
    <t>22663 - 6 - A2 Baby klæðir LS</t>
  </si>
  <si>
    <t>22664 - 6 - A2 CTG beltir (pr net) LS</t>
  </si>
  <si>
    <t>22665 - 6 - A2 Fasonløk LS</t>
  </si>
  <si>
    <t>22666 - 6 - A2 Hitadunkur/púta LS</t>
  </si>
  <si>
    <t>22667 - 6 - A2 Rebozo turriklæði  LS</t>
  </si>
  <si>
    <t>22668 - 6 - A2 tunikur LS</t>
  </si>
  <si>
    <t>22669 - 6 - B 5 Barnaklæðir LS</t>
  </si>
  <si>
    <t>22670 - 7 - OP Armteppir LS</t>
  </si>
  <si>
    <t>22671 - 7 - OP Beinposar LS</t>
  </si>
  <si>
    <t>22672 - 7 - OP blusur LS</t>
  </si>
  <si>
    <t>22673 - 7 - OP buksur LS</t>
  </si>
  <si>
    <t>22674 - 7 - OP Dýnur LS</t>
  </si>
  <si>
    <t>22675 - 7 - OP jakkar LS</t>
  </si>
  <si>
    <t>22676 - 7 - OP tunikur LS</t>
  </si>
  <si>
    <t>22677 - 10 - Buksur LS</t>
  </si>
  <si>
    <t>22678 - 10 - Jakkar LS</t>
  </si>
  <si>
    <t>22679 - 10 - Kittil langur LS</t>
  </si>
  <si>
    <t>22680 - 10 - Kittil stuttur LS</t>
  </si>
  <si>
    <t>22681 - 10 - Posar LS</t>
  </si>
  <si>
    <t>22682 - 10 - T-shirt LS</t>
  </si>
  <si>
    <t>22683 - 10 - Tunikur LS</t>
  </si>
  <si>
    <t>22684 - 11 - Køkur Borðlappar pr stk (50 í posa) LS</t>
  </si>
  <si>
    <t>22685 - 11 - Køkur buksur LS</t>
  </si>
  <si>
    <t>22686 - 11 - Køkur fyriklæði LS</t>
  </si>
  <si>
    <t>22687 - 11 - Køkur jakkar LS</t>
  </si>
  <si>
    <t>22688 - 11 - Køkur kokkajakkar LS</t>
  </si>
  <si>
    <t>22689 - 11 - Køkur posar LS</t>
  </si>
  <si>
    <t>22690 - 11 - Køkur T-shirt  LS</t>
  </si>
  <si>
    <t>22691 - 11 - Køkur Viskistykkir LS</t>
  </si>
  <si>
    <t>22692 - 8 - Medico buksir LS</t>
  </si>
  <si>
    <t>22693 - 8 - Medico skjúrtur LS</t>
  </si>
  <si>
    <t>22694 - 9 - Apotek blusir LS</t>
  </si>
  <si>
    <t>22695 - 9 - Apotek buksir LS</t>
  </si>
  <si>
    <t>22696 - 9- Apotek kittel LS</t>
  </si>
  <si>
    <t>22698 - 14 - Babydýnir LS</t>
  </si>
  <si>
    <t>22699 - 14 - Juniordýnir LS</t>
  </si>
  <si>
    <t>22700 - 14 - Koddar LS</t>
  </si>
  <si>
    <t>22701 - 14 - Madrassubetrek LS</t>
  </si>
  <si>
    <t>22704 - 12 - Portør Blusir LS</t>
  </si>
  <si>
    <t>22705 - 12 - Portør buksir LS</t>
  </si>
  <si>
    <t>22706 - 12 - Portør jakkar LS</t>
  </si>
  <si>
    <t>22707 - 12 - Portør tjúkkir jakkar LS</t>
  </si>
  <si>
    <t>22708 - 4 - Skermar LS</t>
  </si>
  <si>
    <t>22709 - 4 - Skinn B6 LS</t>
  </si>
  <si>
    <t>22744 - 15 - Reingerð tvøgur kg LS</t>
  </si>
  <si>
    <t>22745 - 15 - Reingerð lappar kg LS</t>
  </si>
  <si>
    <t>22748 - 13 - Arbeiðsmenn buksir LS</t>
  </si>
  <si>
    <t>22749 - 13 - Arbeiðsmenn T-shirt LS</t>
  </si>
  <si>
    <t>22750 - 13 - Arbeiðsmenn skjúrtur LS</t>
  </si>
  <si>
    <t>22751 - 13 - Arbeiðsmenn sweetshirt LS</t>
  </si>
  <si>
    <t>22752 - 16 - Topmadrassa LS</t>
  </si>
  <si>
    <t>22753 - 6 - A2 brúsuforhang LS</t>
  </si>
  <si>
    <t>22754 - 4 - G1 brúsuforhang dubult LS</t>
  </si>
  <si>
    <t>23427 - Dúkar 140 x 300</t>
  </si>
  <si>
    <t>stk pr dag</t>
  </si>
  <si>
    <t>stk 5 dagar buffara</t>
  </si>
  <si>
    <t xml:space="preserve">stk í juli </t>
  </si>
  <si>
    <t>buffer</t>
  </si>
  <si>
    <t>pleje</t>
  </si>
  <si>
    <t>hotel</t>
  </si>
  <si>
    <t>hilton</t>
  </si>
  <si>
    <t>skib</t>
  </si>
  <si>
    <t>småkunder</t>
  </si>
  <si>
    <t xml:space="preserve">hotel </t>
  </si>
  <si>
    <t>LS</t>
  </si>
  <si>
    <t>kategori</t>
  </si>
  <si>
    <t>antal arbejsdage</t>
  </si>
  <si>
    <t>antal dage som buffer</t>
  </si>
  <si>
    <t>inkøbspris pr stk</t>
  </si>
  <si>
    <t>Investering</t>
  </si>
  <si>
    <t>Claus</t>
  </si>
  <si>
    <t>arbejdsdage</t>
  </si>
  <si>
    <t>Vare</t>
  </si>
  <si>
    <t>Stk i juli</t>
  </si>
  <si>
    <t xml:space="preserve">stk 5 dage buffer </t>
  </si>
  <si>
    <t>Navision Item Type</t>
  </si>
  <si>
    <t>Navision Item Number</t>
  </si>
  <si>
    <t>Place</t>
  </si>
  <si>
    <t>Item Description - Measurements before wash</t>
  </si>
  <si>
    <t>Productname</t>
  </si>
  <si>
    <t>Quality No. + Construction
 + Weight</t>
  </si>
  <si>
    <t>Beirtex</t>
  </si>
  <si>
    <t>Quality Code</t>
  </si>
  <si>
    <t>Design Number</t>
  </si>
  <si>
    <t>Color Description</t>
  </si>
  <si>
    <t>BVK/MOQ</t>
  </si>
  <si>
    <t>Antal stk</t>
  </si>
  <si>
    <t>Pris DKK pr stk
 FOB AAR</t>
  </si>
  <si>
    <t>Total DKK 
FOB AAR</t>
  </si>
  <si>
    <t>41</t>
  </si>
  <si>
    <t>417228203-0501002H42</t>
  </si>
  <si>
    <t>Hotel Færoyar/Alm opfyldning</t>
  </si>
  <si>
    <t>Tonga 50x100cm</t>
  </si>
  <si>
    <t xml:space="preserve">Tonga - Håndklæde 50x100cm </t>
  </si>
  <si>
    <t>722 - 10/90 PB - 480G</t>
  </si>
  <si>
    <t>100 - Hvid</t>
  </si>
  <si>
    <t>BVK</t>
  </si>
  <si>
    <t>417228203-0701402H42</t>
  </si>
  <si>
    <t>Tonga 70x140cm</t>
  </si>
  <si>
    <t>Tonga - Badehåndklæde 70x140cm</t>
  </si>
  <si>
    <t>TBA</t>
  </si>
  <si>
    <t>Tonga 100x150cm</t>
  </si>
  <si>
    <t>Tonga - Badelagen 100x150cm</t>
  </si>
  <si>
    <t>(BVK)</t>
  </si>
  <si>
    <t>Tonga 30x30cm</t>
  </si>
  <si>
    <t>Tonga - Facetowel 30x30cm</t>
  </si>
  <si>
    <t>721B - 10/90 PB - 480G</t>
  </si>
  <si>
    <t>721B</t>
  </si>
  <si>
    <t>417248010-0500700H42</t>
  </si>
  <si>
    <t>Hotel Færoyar</t>
  </si>
  <si>
    <t>Bademåtte 50x70cm</t>
  </si>
  <si>
    <t>Madagascar - bademåtte 50x70cm</t>
  </si>
  <si>
    <t>724 - 35/65PB - 680G</t>
  </si>
  <si>
    <t>X</t>
  </si>
  <si>
    <t>205257000-160290CH20</t>
  </si>
  <si>
    <t xml:space="preserve">Lagen 160x290 </t>
  </si>
  <si>
    <t>Beirtex - Lagen</t>
  </si>
  <si>
    <t>525D - 50/50PB - 140G</t>
  </si>
  <si>
    <t>525D</t>
  </si>
  <si>
    <t>205257000-240290BH20</t>
  </si>
  <si>
    <t>Lagen 240x290</t>
  </si>
  <si>
    <t>205257000-280300BH20</t>
  </si>
  <si>
    <t xml:space="preserve">Lagen 280x300 </t>
  </si>
  <si>
    <t>Mimii - dyne 140x235</t>
  </si>
  <si>
    <t>Mimii - Dynevår</t>
  </si>
  <si>
    <t>608 - 50% REC P/50B - 150G</t>
  </si>
  <si>
    <t>608A</t>
  </si>
  <si>
    <t>Mimii - Pude 75x115cm</t>
  </si>
  <si>
    <t>Mimii - Pudevår</t>
  </si>
  <si>
    <t>Mimii - Pude 65x80cm</t>
  </si>
  <si>
    <t>306446114-1371450H30</t>
  </si>
  <si>
    <t>ASTI - 137x145cm</t>
  </si>
  <si>
    <t>ASTI - Dug</t>
  </si>
  <si>
    <t>644 - 50/50PB - 215G</t>
  </si>
  <si>
    <t>644A</t>
  </si>
  <si>
    <t>306446114-1371900H30</t>
  </si>
  <si>
    <t>ASTI - 137x190cm</t>
  </si>
  <si>
    <t>306446114-1372350H30</t>
  </si>
  <si>
    <t>ASTI - 137x235cm</t>
  </si>
  <si>
    <t>326446114-0500531H04</t>
  </si>
  <si>
    <t>ASTI - 50x53cm</t>
  </si>
  <si>
    <t>ASTI - Serviet</t>
  </si>
  <si>
    <t>306446114-1371450G30</t>
  </si>
  <si>
    <t>644A - 50% REC P/50B - 215G</t>
  </si>
  <si>
    <t>5422 - Macchiato</t>
  </si>
  <si>
    <t>306446114-1371901G30</t>
  </si>
  <si>
    <t>306446114-1372350G30</t>
  </si>
  <si>
    <t>326446114-0500531G04</t>
  </si>
  <si>
    <t>vægt/stk</t>
  </si>
  <si>
    <t>stk vægt</t>
  </si>
  <si>
    <t>stk pr container</t>
  </si>
  <si>
    <t>antal containere</t>
  </si>
  <si>
    <t>m2/container</t>
  </si>
  <si>
    <t>plads behov m2</t>
  </si>
  <si>
    <t>Kolonne1</t>
  </si>
  <si>
    <t>king</t>
  </si>
  <si>
    <t>queen</t>
  </si>
  <si>
    <t>std</t>
  </si>
  <si>
    <t>?</t>
  </si>
  <si>
    <t>70x140</t>
  </si>
  <si>
    <t>50x100</t>
  </si>
  <si>
    <t>lagen hotel</t>
  </si>
  <si>
    <t>badekåbe</t>
  </si>
  <si>
    <t>bade håndklæde</t>
  </si>
  <si>
    <t>bademåtte</t>
  </si>
  <si>
    <t>servietter</t>
  </si>
  <si>
    <t>viskestykker</t>
  </si>
  <si>
    <t>vaskeklud</t>
  </si>
  <si>
    <t>sække</t>
  </si>
  <si>
    <t>pudebetræk</t>
  </si>
  <si>
    <t>kokke jakker</t>
  </si>
  <si>
    <t>lagen ?</t>
  </si>
  <si>
    <t>håndklæde</t>
  </si>
  <si>
    <t>badehåndklæde</t>
  </si>
  <si>
    <t>dynebtræk børn</t>
  </si>
  <si>
    <t>lagen børn</t>
  </si>
  <si>
    <t>pudebetræk børn</t>
  </si>
  <si>
    <t>stiklagner</t>
  </si>
  <si>
    <t>mopper</t>
  </si>
  <si>
    <t>bluse</t>
  </si>
  <si>
    <t>duge 150x150</t>
  </si>
  <si>
    <t>dug 180x180</t>
  </si>
  <si>
    <t>dyner</t>
  </si>
  <si>
    <t>duge små</t>
  </si>
  <si>
    <t>duge mellem</t>
  </si>
  <si>
    <t>duge store</t>
  </si>
  <si>
    <t>halehåndklæde</t>
  </si>
  <si>
    <t>bækkenstykker</t>
  </si>
  <si>
    <t>dynebetræk skib</t>
  </si>
  <si>
    <t>lagen skib</t>
  </si>
  <si>
    <t>pudebetræk skip</t>
  </si>
  <si>
    <t>dynebetræk std</t>
  </si>
  <si>
    <t>Dynebetræk pleje</t>
  </si>
  <si>
    <t xml:space="preserve">Dynebetræk hotel </t>
  </si>
  <si>
    <t>Dynebetræk hilton</t>
  </si>
  <si>
    <t>Dynebetræk skib</t>
  </si>
  <si>
    <t>Pudebetræk skib</t>
  </si>
  <si>
    <t>Håndklæde hotel 70x140</t>
  </si>
  <si>
    <t>handklæder hotel 50x100</t>
  </si>
  <si>
    <t xml:space="preserve">lagen hotel </t>
  </si>
  <si>
    <t>Badekåbe skib</t>
  </si>
  <si>
    <t>udfases</t>
  </si>
  <si>
    <t>Handklæde stort skib</t>
  </si>
  <si>
    <t>udfases men erstattes af tonga 100x150</t>
  </si>
  <si>
    <t>Badmåtter hotel</t>
  </si>
  <si>
    <t>servietter hvide</t>
  </si>
  <si>
    <t xml:space="preserve">udfases </t>
  </si>
  <si>
    <t>Vaskekluse hotel</t>
  </si>
  <si>
    <t xml:space="preserve">pudebetræk hotel </t>
  </si>
  <si>
    <t>Udfases</t>
  </si>
  <si>
    <t>Pudebetræk stort</t>
  </si>
  <si>
    <t>Pudebetræk pleje</t>
  </si>
  <si>
    <t>Lagen</t>
  </si>
  <si>
    <t xml:space="preserve">Dynebetræk Hilton </t>
  </si>
  <si>
    <t>Håndklæder clifton 40x170</t>
  </si>
  <si>
    <t>Håndklæder clifton 50x100</t>
  </si>
  <si>
    <t>lagen pleje</t>
  </si>
  <si>
    <t>Dybebetæk barn</t>
  </si>
  <si>
    <t xml:space="preserve">lagen barn </t>
  </si>
  <si>
    <t>pudebetræk barn</t>
  </si>
  <si>
    <t>Duge LS 240</t>
  </si>
  <si>
    <t>fasonlagen lille skib</t>
  </si>
  <si>
    <t xml:space="preserve">fasonlagen hotel </t>
  </si>
  <si>
    <t xml:space="preserve">stiklagen hotel </t>
  </si>
  <si>
    <t>halehåndklæde pleje</t>
  </si>
  <si>
    <t>spisestykke pleje</t>
  </si>
  <si>
    <t>smækker pleje</t>
  </si>
  <si>
    <t>hovedpude pleje</t>
  </si>
  <si>
    <t>vaskeklud pleje</t>
  </si>
  <si>
    <t>håndklde 70x140 pleje</t>
  </si>
  <si>
    <t>håndklde 50x100 pleje</t>
  </si>
  <si>
    <t>Bækkenstykker pleje</t>
  </si>
  <si>
    <t>Glidelagen LS</t>
  </si>
  <si>
    <t>Badekåbe LS</t>
  </si>
  <si>
    <t>Dyner LS</t>
  </si>
  <si>
    <t>uniformer apoteket</t>
  </si>
  <si>
    <t>dug 150x150</t>
  </si>
  <si>
    <t>dug 140 x 100</t>
  </si>
  <si>
    <t>dug 140 x 200</t>
  </si>
  <si>
    <t>dug 140 x 240</t>
  </si>
  <si>
    <t>Håndklæde 70x140 LS</t>
  </si>
  <si>
    <t>Halahåndklæde LS</t>
  </si>
  <si>
    <t>Håndklæde LS</t>
  </si>
  <si>
    <t>Smækker LS</t>
  </si>
  <si>
    <t>Bækkenstykker LS</t>
  </si>
  <si>
    <t>Grøn stykker LS</t>
  </si>
  <si>
    <t>Spisestykke LS</t>
  </si>
  <si>
    <t>Viksestykker LS</t>
  </si>
  <si>
    <t>Bårelagen LS</t>
  </si>
  <si>
    <t>Dynebetræk baby LS</t>
  </si>
  <si>
    <t>Dynebetræk junior LS</t>
  </si>
  <si>
    <t>Dynebetræk LS</t>
  </si>
  <si>
    <t>Lagen LS</t>
  </si>
  <si>
    <t>Lagen baby LS</t>
  </si>
  <si>
    <t>Lagen junior LS</t>
  </si>
  <si>
    <t>Pudebetræk LS</t>
  </si>
  <si>
    <t>Pudebetræk juniorLS</t>
  </si>
  <si>
    <t>Stiklagen LS</t>
  </si>
  <si>
    <t>Armslynge/belte mv'</t>
  </si>
  <si>
    <t>forklæde LS</t>
  </si>
  <si>
    <t>Vaskeklud LS pose med 40 stk</t>
  </si>
  <si>
    <t>Portør Teppe</t>
  </si>
  <si>
    <t>Sække</t>
  </si>
  <si>
    <t>Segl</t>
  </si>
  <si>
    <t>Sokker 30 par i pose LS</t>
  </si>
  <si>
    <t>Tæppe LS</t>
  </si>
  <si>
    <t>Boxer LS</t>
  </si>
  <si>
    <t>Lamge underbusker LS</t>
  </si>
  <si>
    <t>Skjorte LS</t>
  </si>
  <si>
    <t>Skjorte åben LS</t>
  </si>
  <si>
    <t>Trusser kvinder Ls</t>
  </si>
  <si>
    <t>Trusser mænd LS</t>
  </si>
  <si>
    <t>undertrøje LS</t>
  </si>
  <si>
    <t>Undertrøje med strop LS</t>
  </si>
  <si>
    <t>Busker LS</t>
  </si>
  <si>
    <t>Babytøj LS</t>
  </si>
  <si>
    <t>CTG Bælter LS</t>
  </si>
  <si>
    <t>Fasonlagen LS</t>
  </si>
  <si>
    <t>Varmepude LS</t>
  </si>
  <si>
    <t>Tørklæde LS</t>
  </si>
  <si>
    <t>Tunike LS</t>
  </si>
  <si>
    <t>Skærme LS</t>
  </si>
  <si>
    <t>Børnetøj LS</t>
  </si>
  <si>
    <t xml:space="preserve">Armtæppe OP LS </t>
  </si>
  <si>
    <t>Benposer OP LS</t>
  </si>
  <si>
    <t>Bluse OP LS</t>
  </si>
  <si>
    <t>Bukser OP LS</t>
  </si>
  <si>
    <t>Dyner OP LS</t>
  </si>
  <si>
    <t>Jakker OP LS</t>
  </si>
  <si>
    <t>Tuniker OP LS</t>
  </si>
  <si>
    <t>Jakke LS</t>
  </si>
  <si>
    <t>Kittel Lang LS</t>
  </si>
  <si>
    <t>Kittel kort LS</t>
  </si>
  <si>
    <t>T-shirt LS</t>
  </si>
  <si>
    <t>Yunkier Ls</t>
  </si>
  <si>
    <t>Køkkenplude 50 i pose LS</t>
  </si>
  <si>
    <t>Bukser LS</t>
  </si>
  <si>
    <t>Forkllde LS</t>
  </si>
  <si>
    <t>Kokkejakke LS</t>
  </si>
  <si>
    <t>Tshirt LS</t>
  </si>
  <si>
    <t>iskestykker Ls</t>
  </si>
  <si>
    <t>bluse LS</t>
  </si>
  <si>
    <t>Kittel LS</t>
  </si>
  <si>
    <t>Babydyner LS</t>
  </si>
  <si>
    <t>Juniordyne LS</t>
  </si>
  <si>
    <t xml:space="preserve">Pude LS </t>
  </si>
  <si>
    <t>Madrassebetræk LS</t>
  </si>
  <si>
    <t>Bluser LS</t>
  </si>
  <si>
    <t>Tykker jakker LS</t>
  </si>
  <si>
    <t>Skind LS</t>
  </si>
  <si>
    <t>Mopper Ls</t>
  </si>
  <si>
    <t>klude LS</t>
  </si>
  <si>
    <t>sweatshist LS</t>
  </si>
  <si>
    <t>Topmadras LS</t>
  </si>
  <si>
    <t>Badeforhænge LS</t>
  </si>
  <si>
    <t>dobbeltbadeforhæng Ls</t>
  </si>
  <si>
    <t xml:space="preserve">Duge 140 x 300 </t>
  </si>
  <si>
    <r>
      <t xml:space="preserve">duge (alt for) store - </t>
    </r>
    <r>
      <rPr>
        <sz val="10"/>
        <color rgb="FFFF0000"/>
        <rFont val="Helvetica"/>
      </rPr>
      <t>vi sagte ja til dette ved sidste møde ved Gist og Vist</t>
    </r>
  </si>
  <si>
    <t>Vare fra kassesystem</t>
  </si>
  <si>
    <t>Claus ovesat</t>
  </si>
  <si>
    <t>Oversat til dansk af Hildur og Sunrid</t>
  </si>
  <si>
    <t>Buffer</t>
  </si>
  <si>
    <t>ja</t>
  </si>
  <si>
    <t xml:space="preserve">Pudebetræk stort hotel </t>
  </si>
  <si>
    <t>nei</t>
  </si>
  <si>
    <t>håndklæde 70x140 pleje</t>
  </si>
  <si>
    <t>håndklæde 50x100 pleje</t>
  </si>
  <si>
    <t>Boxershorts LS</t>
  </si>
  <si>
    <t>Tunkier LS</t>
  </si>
  <si>
    <t>Køkkenklude 50 i pose LS</t>
  </si>
  <si>
    <t>Viskestykker LS</t>
  </si>
  <si>
    <t>Forklæde LS</t>
  </si>
  <si>
    <t xml:space="preserve">Plejehjem får leveret en gang om ugen </t>
  </si>
  <si>
    <t>ikke mere backup</t>
  </si>
  <si>
    <t>Skib har buffer på 30 vogne</t>
  </si>
  <si>
    <t xml:space="preserve">LS har buffer i lager, dig ikke vasket. </t>
  </si>
  <si>
    <t>Det som mangler buffer et hotellerne</t>
  </si>
  <si>
    <t>Håndklæde hotel 70x140 tynd</t>
  </si>
  <si>
    <t>handklæder hotel 50x100 tynd</t>
  </si>
  <si>
    <t>lagen hotel 160x290 sort stikning</t>
  </si>
  <si>
    <t xml:space="preserve">Store langen gulstikning </t>
  </si>
  <si>
    <t xml:space="preserve">Vaskeklude hotel </t>
  </si>
  <si>
    <t>stiklagen pleje</t>
  </si>
  <si>
    <t>Viskestykker pleje</t>
  </si>
  <si>
    <t>NB ! Skifter håndklæder ud til 100 x150 på Hotel føroyar</t>
  </si>
  <si>
    <t>Dynebetræk hilton king</t>
  </si>
  <si>
    <t>Dynebetræk Hilton queen</t>
  </si>
  <si>
    <t>Dynebetræk Hilton twin</t>
  </si>
  <si>
    <t>Handklæde stort skib 70x140</t>
  </si>
  <si>
    <r>
      <t xml:space="preserve">duge (alt for) store - </t>
    </r>
    <r>
      <rPr>
        <sz val="11"/>
        <color rgb="FFFF0000"/>
        <rFont val="Calibri"/>
        <family val="2"/>
      </rPr>
      <t>vi sagde ja til dette ved sidste møde ved Gist og Vist. Det fungerer fint</t>
    </r>
  </si>
  <si>
    <t>duge store (hvide)</t>
  </si>
  <si>
    <r>
      <t>duge 150x150 (</t>
    </r>
    <r>
      <rPr>
        <sz val="11"/>
        <color rgb="FFFF0000"/>
        <rFont val="Calibri"/>
        <family val="2"/>
      </rPr>
      <t>hvid</t>
    </r>
    <r>
      <rPr>
        <sz val="11"/>
        <color rgb="FF000000"/>
        <rFont val="Calibri"/>
        <family val="2"/>
      </rPr>
      <t>)</t>
    </r>
  </si>
  <si>
    <r>
      <t>dug 180x180 (</t>
    </r>
    <r>
      <rPr>
        <sz val="11"/>
        <color rgb="FFFF0000"/>
        <rFont val="Calibri"/>
        <family val="2"/>
      </rPr>
      <t>hvid</t>
    </r>
    <r>
      <rPr>
        <sz val="11"/>
        <color rgb="FF000000"/>
        <rFont val="Calibri"/>
        <family val="2"/>
      </rPr>
      <t>)</t>
    </r>
  </si>
  <si>
    <t>std+100% burde være std LS hotel</t>
  </si>
  <si>
    <t>std+50% burde være std LS hotel</t>
  </si>
  <si>
    <t>Sunrid?</t>
  </si>
  <si>
    <t>Håndklæder clifton 100x150</t>
  </si>
  <si>
    <t>Containere</t>
  </si>
  <si>
    <t>Tinos 480 gsm 35%pol/65%bom</t>
  </si>
  <si>
    <t>holbox 360 gsm (pris mangler)</t>
  </si>
  <si>
    <t>OPDATERET</t>
  </si>
  <si>
    <t>opdateret 2/9/25</t>
  </si>
  <si>
    <t>badelagen</t>
  </si>
  <si>
    <t>Sunrid</t>
  </si>
  <si>
    <t>Del af G&amp;V sortiment</t>
  </si>
  <si>
    <t>nej</t>
  </si>
  <si>
    <t>Håndklæder clifton 70x140</t>
  </si>
  <si>
    <t>BUFFERLAGER + Klaksvik</t>
  </si>
  <si>
    <t>Buffer + klaksvik samlet stk = udbud</t>
  </si>
  <si>
    <r>
      <t xml:space="preserve">G&amp;V Klaksvik
</t>
    </r>
    <r>
      <rPr>
        <sz val="11"/>
        <color rgb="FFFF0000"/>
        <rFont val="Calibri"/>
        <family val="2"/>
      </rPr>
      <t xml:space="preserve">Par 10 </t>
    </r>
  </si>
  <si>
    <t>mangler pris &amp; specs</t>
  </si>
  <si>
    <t>mangler antal</t>
  </si>
  <si>
    <t>skal denne udgå?</t>
  </si>
  <si>
    <t>Lagen stor 275x295 hotel gul stinkning</t>
  </si>
  <si>
    <t>bruges ikke ?</t>
  </si>
  <si>
    <t>mangler opdateret pris (før udbud)</t>
  </si>
  <si>
    <r>
      <t>dug 140 x 100 
(</t>
    </r>
    <r>
      <rPr>
        <sz val="11"/>
        <color rgb="FFFF0000"/>
        <rFont val="Calibri"/>
        <family val="2"/>
      </rPr>
      <t>ER DENNE STØRRELSE 100X100 ELLER 1,40X100)</t>
    </r>
  </si>
  <si>
    <t>bemærk / SPECS</t>
  </si>
  <si>
    <t>CSR</t>
  </si>
  <si>
    <t>Vægt (GSM)</t>
  </si>
  <si>
    <t>Binding</t>
  </si>
  <si>
    <t>Garn skud</t>
  </si>
  <si>
    <t>Garn kæde</t>
  </si>
  <si>
    <t>Garn løkke</t>
  </si>
  <si>
    <t>threepick terry</t>
  </si>
  <si>
    <t>52% recycled polyester / 48% bomuld MVS garner</t>
  </si>
  <si>
    <t>irregular mattweave</t>
  </si>
  <si>
    <t>MVS: Murata Vortex Garner</t>
  </si>
  <si>
    <t>stk vægt kg.</t>
  </si>
  <si>
    <t xml:space="preserve">Lagen stor 230x295 rød stikning hotel </t>
  </si>
  <si>
    <t>Komposition</t>
  </si>
  <si>
    <t>Logo *)</t>
  </si>
  <si>
    <t>*) hvis logo = specialvare = lang leveringstid</t>
  </si>
  <si>
    <t>Leveringstid LS Tórshavn</t>
  </si>
  <si>
    <t>Afrundet = udbud antal</t>
  </si>
  <si>
    <t>Artikel</t>
  </si>
  <si>
    <t>LS varenummer</t>
  </si>
  <si>
    <t>Bademåtte 50x70</t>
  </si>
  <si>
    <t>Håndklæde 50x100 hotel</t>
  </si>
  <si>
    <t>Badehåndklæde 70x140 hotel</t>
  </si>
  <si>
    <t>Badelagen100x150 hotel</t>
  </si>
  <si>
    <t>Vaskeklude</t>
  </si>
  <si>
    <t>Lagen 160x290 sort tråd</t>
  </si>
  <si>
    <t>Pudebetræk standard</t>
  </si>
  <si>
    <r>
      <t xml:space="preserve">Std </t>
    </r>
    <r>
      <rPr>
        <sz val="11"/>
        <color rgb="FFFF0000"/>
        <rFont val="Calibri"/>
        <family val="2"/>
      </rPr>
      <t>aaxyy</t>
    </r>
  </si>
  <si>
    <r>
      <t xml:space="preserve">King </t>
    </r>
    <r>
      <rPr>
        <sz val="11"/>
        <color rgb="FFFF0000"/>
        <rFont val="Calibri"/>
        <family val="2"/>
      </rPr>
      <t>aaxyy</t>
    </r>
  </si>
  <si>
    <t>Opdateret</t>
  </si>
  <si>
    <t>Pris pr. stk frit leveret Tórshavn</t>
  </si>
  <si>
    <t>Year</t>
  </si>
  <si>
    <t>Total</t>
  </si>
  <si>
    <t>Design Name</t>
  </si>
  <si>
    <t>Customers Item Number</t>
  </si>
  <si>
    <t>Item Description</t>
  </si>
  <si>
    <t>Navision Search Description</t>
  </si>
  <si>
    <t>Invoiced Quantity</t>
  </si>
  <si>
    <t>M2</t>
  </si>
  <si>
    <t>Kæde: komposition, garnnummer og spindemetode og evt rec pes</t>
  </si>
  <si>
    <t>Skud: komposition, garnnummer og spindemetode</t>
  </si>
  <si>
    <t>Løkke: komposition, garnnummer og spindemetode</t>
  </si>
  <si>
    <t>LANDSSJUK</t>
  </si>
  <si>
    <t>52/48 PC</t>
  </si>
  <si>
    <t>BCI cotton
ECOlabel
Oekotex STEP
Oekotex 100
Green Button</t>
  </si>
  <si>
    <t>Plain weave 1/1</t>
  </si>
  <si>
    <t>N/A</t>
  </si>
  <si>
    <t>11</t>
  </si>
  <si>
    <t>784</t>
  </si>
  <si>
    <t>Opera</t>
  </si>
  <si>
    <t>117847001-1402200H00</t>
  </si>
  <si>
    <t>Quiltcover 140x220 cm Opera</t>
  </si>
  <si>
    <t>60/40 PC</t>
  </si>
  <si>
    <t>135 gr</t>
  </si>
  <si>
    <t>satin 4/1</t>
  </si>
  <si>
    <t>65/35PC, Ne 40, MVS, rec pes</t>
  </si>
  <si>
    <t>65/35PC, Ne 36, MVS, rec pes</t>
  </si>
  <si>
    <t>Uni</t>
  </si>
  <si>
    <t>140 gr</t>
  </si>
  <si>
    <t>52/48 PC, Ne 24, MVS, rec pes</t>
  </si>
  <si>
    <t>12</t>
  </si>
  <si>
    <t>127847001-0650750H04</t>
  </si>
  <si>
    <t>Pillowcase 65X75 cm</t>
  </si>
  <si>
    <t>20</t>
  </si>
  <si>
    <t>205257000F160290CH20</t>
  </si>
  <si>
    <t>Sheet 160x290 cm</t>
  </si>
  <si>
    <t>205257000F280300CH20</t>
  </si>
  <si>
    <t>Sheet 280x300 cm</t>
  </si>
  <si>
    <t>30 - Duge</t>
  </si>
  <si>
    <t>503C</t>
  </si>
  <si>
    <t>Berlin</t>
  </si>
  <si>
    <t>305036002F1402100H30</t>
  </si>
  <si>
    <t>Tablecloth 140x210 Berlin</t>
  </si>
  <si>
    <t>220 gr</t>
  </si>
  <si>
    <t>52/48 PC, Ne 30/2, MVS, rec pes</t>
  </si>
  <si>
    <t>30</t>
  </si>
  <si>
    <t>305036002F1403150H30</t>
  </si>
  <si>
    <t>Tablecloth 140x315 Berlin</t>
  </si>
  <si>
    <t>Copenhagen</t>
  </si>
  <si>
    <t>315036001F1001050H31</t>
  </si>
  <si>
    <t>Slip 100x105 cm</t>
  </si>
  <si>
    <t>644B</t>
  </si>
  <si>
    <t>Asti</t>
  </si>
  <si>
    <t>306446114F2002100H96</t>
  </si>
  <si>
    <t>Tablecloth 200x210 cm</t>
  </si>
  <si>
    <t>FO - HOTEL</t>
  </si>
  <si>
    <t>50/50PC</t>
  </si>
  <si>
    <t>215 gr</t>
  </si>
  <si>
    <t>Irregular mattweave</t>
  </si>
  <si>
    <t>50/50PC, Ne 16 MVS, rec pes</t>
  </si>
  <si>
    <t>306446114F2202300H96</t>
  </si>
  <si>
    <t>Tablecloth 220x230 cm</t>
  </si>
  <si>
    <t>32 - Servietter</t>
  </si>
  <si>
    <t>325036001-0520522H32</t>
  </si>
  <si>
    <t>Napkin 52x52 cm Beirtex</t>
  </si>
  <si>
    <t>COPENHAGEN BEIRTEX</t>
  </si>
  <si>
    <t>41 - Frotte</t>
  </si>
  <si>
    <t>654A</t>
  </si>
  <si>
    <t>Tonga</t>
  </si>
  <si>
    <t>416548203F0501000H42</t>
  </si>
  <si>
    <t>Terry towel 50x100cm</t>
  </si>
  <si>
    <t>35/65 PC</t>
  </si>
  <si>
    <t>480gr</t>
  </si>
  <si>
    <t>Threepick</t>
  </si>
  <si>
    <t>50/50PC, Ne 10/1, ringspun, rec. Pes</t>
  </si>
  <si>
    <t>100% cotton, Ne12/1, ringspun</t>
  </si>
  <si>
    <t>35/65PC, Ne 15/1, MVS, rec pes</t>
  </si>
  <si>
    <t>416548203F0701400H42</t>
  </si>
  <si>
    <t>Terry Towel 70x140cm</t>
  </si>
  <si>
    <t>416548203F1001500H42</t>
  </si>
  <si>
    <t>Terry towel 100x150 cm</t>
  </si>
  <si>
    <t>721</t>
  </si>
  <si>
    <t>417218203-0300300H42</t>
  </si>
  <si>
    <t>Face towel 30x30 cm</t>
  </si>
  <si>
    <t>TONGA</t>
  </si>
  <si>
    <t>10/90 PC</t>
  </si>
  <si>
    <t>400gr</t>
  </si>
  <si>
    <t>50/50 PC, Ne12/1 ringspun</t>
  </si>
  <si>
    <t>100% cotton, Ne 16/1, ringspun</t>
  </si>
  <si>
    <t>100% cotton, Ne 16/1</t>
  </si>
  <si>
    <t>417218203-0300300H43</t>
  </si>
  <si>
    <t>Tonga Face towel 30x30 cm</t>
  </si>
  <si>
    <t>50/50 PC, Ne12/1 ringspun, rec pes</t>
  </si>
  <si>
    <t>724D</t>
  </si>
  <si>
    <t>Madagaskar</t>
  </si>
  <si>
    <t>Bath mat 50x70cm Madagaskar</t>
  </si>
  <si>
    <t>MADAGASKAR BEIRTEX</t>
  </si>
  <si>
    <t>33/67 PC</t>
  </si>
  <si>
    <t>680 gr</t>
  </si>
  <si>
    <t>50/50 PC, Ne 20/2, ringspun, rec pes</t>
  </si>
  <si>
    <t>35/65PC, Ne 15/2, MVS, rec pes</t>
  </si>
  <si>
    <t>20/80 PC</t>
  </si>
  <si>
    <t>50/50 PC, Ne 10/1, ringspun, rec pes</t>
  </si>
  <si>
    <t>20/80 PC, Ne 16/1, MVS</t>
  </si>
  <si>
    <t>417318315-0651250D42</t>
  </si>
  <si>
    <t>BV Varenummer</t>
  </si>
  <si>
    <t>Dug 100x105 hvide</t>
  </si>
  <si>
    <t>Duge 140x210 hvide</t>
  </si>
  <si>
    <t>Design **)</t>
  </si>
  <si>
    <t>glat 1/1</t>
  </si>
  <si>
    <t xml:space="preserve">Lagen stor 230x300 rød tråd </t>
  </si>
  <si>
    <t>Lagen stor 280x300 hotel gul tråd</t>
  </si>
  <si>
    <t>205257000F230300CH20</t>
  </si>
  <si>
    <t>**) jeg tror vi er nødt til at sende 1 prøve af hver artikel til de leverandører der klarer prækvalifikationen</t>
  </si>
  <si>
    <t>Hotel = med i udbud</t>
  </si>
  <si>
    <t>Model</t>
  </si>
  <si>
    <t>Strop (frotte)</t>
  </si>
  <si>
    <t>B6</t>
  </si>
  <si>
    <t>send mail med spec</t>
  </si>
  <si>
    <t xml:space="preserve">B6 </t>
  </si>
  <si>
    <t>Holbox 360g 20/80 en borde</t>
  </si>
  <si>
    <t>23732 - Handklæði, 480g/m2, 100x150 cm</t>
  </si>
  <si>
    <t>samme spec som andre lagner</t>
  </si>
  <si>
    <t>Rapella</t>
  </si>
  <si>
    <t>Skal vi sende en mail med specs?</t>
  </si>
  <si>
    <t>*20/21</t>
  </si>
  <si>
    <t>Noter til det der er markeret med rødt</t>
  </si>
  <si>
    <t>På dugene vi har modtagt står der at de e 150x150 og 180x180. Men på Fakturen står der 220x210 og 220x230. Vi må sikre os at det er det korrekte der går ud</t>
  </si>
  <si>
    <t>OBS! Vi ønsker markering på dugene med størrelse som vi har fået af BV i dag. Dette gælder alle duge</t>
  </si>
  <si>
    <t>Alt fra Hilton blev købt i 2020 fra B6. Jeg har sendt dig mail med kontaktoplysninger hos B6 og faktura, så du kan bede om de specifikationer du har brug for</t>
  </si>
  <si>
    <r>
      <t xml:space="preserve">Vi har ikke bestilt "tynde" håndklæder til hotel/skip fra Beirholm før. Vi ønsker at de skal være magen til dem vi har i dag, med en borde. </t>
    </r>
    <r>
      <rPr>
        <i/>
        <sz val="11"/>
        <color rgb="FF000000"/>
        <rFont val="Calibri"/>
        <family val="2"/>
      </rPr>
      <t>Holbox 70x140 cm,  360g 20/80</t>
    </r>
    <r>
      <rPr>
        <sz val="11"/>
        <color rgb="FF000000"/>
        <rFont val="Calibri"/>
        <family val="2"/>
      </rPr>
      <t xml:space="preserve"> fra Beirholm, har i kataloget  2 border. Det skal være 1 borde for at mache resten af vores sortiment</t>
    </r>
  </si>
  <si>
    <t>Jeg har oprettet en ny vare i kassesystemet som du ønskede</t>
  </si>
  <si>
    <t>Har tidligere bestilt fra B6. Størrelsen er 230x295 fra B6. Vi ønsker samme specs som på de øvrige lagener. Hvis de har en anden standardstørrelse der afviger en smule, er det okey</t>
  </si>
  <si>
    <t>Skal vi bede om specifikationer på sække fra Rapella? Vi vil gerne have de samme som vi har i dag.</t>
  </si>
  <si>
    <t>Noter til Claus</t>
  </si>
  <si>
    <t>NR</t>
  </si>
  <si>
    <t>Nedenfor er der noter til at det som jeg har markeret med rødt</t>
  </si>
  <si>
    <t>B6 send mail med specs</t>
  </si>
  <si>
    <t>B12+13</t>
  </si>
  <si>
    <t>B16+17+18</t>
  </si>
  <si>
    <t>B21</t>
  </si>
  <si>
    <t>C28</t>
  </si>
  <si>
    <t>A24</t>
  </si>
  <si>
    <t>B25</t>
  </si>
  <si>
    <t>Der er toforskellige varernr hos Beirholm. Vi har bestilt to gange. De er ens, men jeg kan se på specs at den ene har recirkuleret poliester.  Men det skal være Tonga 400 g/m2</t>
  </si>
  <si>
    <r>
      <t xml:space="preserve">Kolonne G er </t>
    </r>
    <r>
      <rPr>
        <b/>
        <sz val="11"/>
        <color rgb="FF000000"/>
        <rFont val="Calibri"/>
        <family val="2"/>
      </rPr>
      <t>BV Varenummer</t>
    </r>
    <r>
      <rPr>
        <sz val="11"/>
        <color rgb="FF000000"/>
        <rFont val="Calibri"/>
        <family val="2"/>
      </rPr>
      <t>, i de tilælde vi har har bestilt fra dem, og ellers bemærking om hvor varen er købt mv</t>
    </r>
  </si>
  <si>
    <t>Der er nogle vare ovenfor der ikke skal med i udbud, du kan slette dem fra arket</t>
  </si>
  <si>
    <t>Hvis du arbejder videre med at udfylde specifikationer på produkterne, så sørger Sunrid og for at vende tilbage med estimere antal på tirsdag. Hun har ferie frem til da</t>
  </si>
  <si>
    <t>Revurderes - Hildur og Sunrid vender tilbage med tal</t>
  </si>
  <si>
    <t>Leveret bredde (før vask)</t>
  </si>
  <si>
    <t>Leveret længde (før vask)</t>
  </si>
  <si>
    <t>Håndklæde 70x140 let (holbox)</t>
  </si>
  <si>
    <t>BV kvalitet</t>
  </si>
  <si>
    <t>Duge 140x315 hvide</t>
  </si>
  <si>
    <t>Design</t>
  </si>
  <si>
    <t>Servietter 52x52</t>
  </si>
  <si>
    <t>Dynebetræk standard 140x220</t>
  </si>
  <si>
    <t>503 / Copenhagen</t>
  </si>
  <si>
    <t>724 / Madagascar</t>
  </si>
  <si>
    <t>503 / Berlin</t>
  </si>
  <si>
    <t>644 / Asti</t>
  </si>
  <si>
    <t>731 / holbox</t>
  </si>
  <si>
    <t>654A / Tonga</t>
  </si>
  <si>
    <t>525D / Uni</t>
  </si>
  <si>
    <t>33% / 67% PC</t>
  </si>
  <si>
    <t xml:space="preserve">50%/50% PC </t>
  </si>
  <si>
    <t xml:space="preserve">52%/48% PC </t>
  </si>
  <si>
    <t>721 / tonga</t>
  </si>
  <si>
    <t>terry 25 uger</t>
  </si>
  <si>
    <t>fladt 14 uger</t>
  </si>
  <si>
    <t>Leveringstid</t>
  </si>
  <si>
    <t>Syning / lukning</t>
  </si>
  <si>
    <t>784 / 4 mm</t>
  </si>
  <si>
    <t xml:space="preserve">Mærkning: </t>
  </si>
  <si>
    <t>størrelse / farve?
Tryk eller ??</t>
  </si>
  <si>
    <t>784 / 20mm / opera</t>
  </si>
  <si>
    <t>Max krymp</t>
  </si>
  <si>
    <t>Antal pr produkt</t>
  </si>
  <si>
    <r>
      <t xml:space="preserve">Applied filters:
Customer Name is LANDSSJÚKRAHÚSIÖ
</t>
    </r>
    <r>
      <rPr>
        <sz val="11"/>
        <color rgb="FFFF0000"/>
        <rFont val="Calibri"/>
        <family val="2"/>
      </rPr>
      <t>Date is on or after 01-01-2023 and is before 01-10-2025</t>
    </r>
    <r>
      <rPr>
        <sz val="11"/>
        <color rgb="FF000000"/>
        <rFont val="Calibri"/>
      </rPr>
      <t xml:space="preserve">
Item Category is Item
Document Number is not T0005135, T0005157, K2000157, or F2005913</t>
    </r>
  </si>
  <si>
    <t>Duge størrelse + reel størrelse vs opmærket størrelse</t>
  </si>
  <si>
    <t>Hilton størrelser: se B6 specs</t>
  </si>
  <si>
    <t>Q784: se produktstrategi</t>
  </si>
  <si>
    <r>
      <t xml:space="preserve">Queen (Hilton ejet) </t>
    </r>
    <r>
      <rPr>
        <sz val="11"/>
        <color rgb="FFFF0000"/>
        <rFont val="Calibri"/>
        <family val="2"/>
      </rPr>
      <t>aaxyy</t>
    </r>
    <r>
      <rPr>
        <sz val="11"/>
        <color rgb="FF000000"/>
        <rFont val="Calibri"/>
        <family val="2"/>
      </rPr>
      <t xml:space="preserve"> 
</t>
    </r>
  </si>
  <si>
    <t>størrelse trykt i søm: 100</t>
  </si>
  <si>
    <t>størrelse trykt i søm: 200</t>
  </si>
  <si>
    <t>Duge 200X210 hvide
(runde borde)</t>
  </si>
  <si>
    <t>Duge 220x300 hvide
(runde borde)</t>
  </si>
  <si>
    <t>størrelse trykt i søm: 180</t>
  </si>
  <si>
    <t>størrelse trykt i søm: 300</t>
  </si>
  <si>
    <t>størrelse trykt i søm: 150</t>
  </si>
  <si>
    <t>Nyt til KG+ SPA</t>
  </si>
  <si>
    <t>Opyldning af lager</t>
  </si>
  <si>
    <t xml:space="preserve">Duge og servietter </t>
  </si>
  <si>
    <t>Buffer vurderet</t>
  </si>
  <si>
    <t xml:space="preserve">Total </t>
  </si>
  <si>
    <t>en strop på hver kortside</t>
  </si>
  <si>
    <t>Queen 240 x 260 cm, blå tråd</t>
  </si>
  <si>
    <t>Twin 210 x 260 cm, grøn tråd</t>
  </si>
  <si>
    <t>Hvid</t>
  </si>
  <si>
    <t>Åben posefacon</t>
  </si>
  <si>
    <t>Model / lukning</t>
  </si>
  <si>
    <t>Sy variant / farve</t>
  </si>
  <si>
    <t xml:space="preserve">Farve </t>
  </si>
  <si>
    <t>35/65PC, Ne 15/2, MVS (eller lignende - præciseres af tilbudsgiver), rec pes</t>
  </si>
  <si>
    <t>Max krymp (overflade = krymp længde + bredde) for industriel vaske/tørre/rulle proces</t>
  </si>
  <si>
    <t xml:space="preserve">størrelse trykt i søm: 200
</t>
  </si>
  <si>
    <t>King 290 x 260 cm, lyseblå tråd</t>
  </si>
  <si>
    <t>20/80 PC, Ne 16/1, MVS (eller lignende - præciseres af tilbudsgiver))</t>
  </si>
  <si>
    <t>35/65PC, Ne 15/1, MVS (eller lignende - præciseres af tilbudsgiver), rec pes</t>
  </si>
  <si>
    <t>65/35PC, Ne 36, MVS (eller lignende - præciseres af tilbudsgiver), rec pes</t>
  </si>
  <si>
    <t>65/35PC, Ne 40, MVS (eller lignende - præciseres af tilbudsgiver), rec pes</t>
  </si>
  <si>
    <t>52/48 PC, Ne 24, MVS (eller lignende - præciseres af tilbudsgiver), rec pes</t>
  </si>
  <si>
    <t>52% recycled polyester / 48% bomuld MVS (eller lignende - præciseres af tilbudsgiver) garner</t>
  </si>
  <si>
    <t>50/50PC, Ne 16 MVS (eller lignende - præciseres af tilbudsgiver) garner, rec pes</t>
  </si>
  <si>
    <t>udbud antal</t>
  </si>
  <si>
    <t>4 sidet søm, med dobbeltstikning på de lange sider</t>
  </si>
  <si>
    <t>20mm satinstriber</t>
  </si>
  <si>
    <t>Overlock i sidesømme, 
transning uåbnet knaphulssyning,
10+5mm søm i åbning</t>
  </si>
  <si>
    <t>20+5mm søm i top og bund med sort tråd</t>
  </si>
  <si>
    <t>20+5mm søm i top og bund med gul tråd</t>
  </si>
  <si>
    <t>20+5mm søm i top og bund med rød tråd</t>
  </si>
  <si>
    <t>Overlock i sidesømme, 
10+5mm søm i åbning.
Hvid tråd</t>
  </si>
  <si>
    <t>4mm satinstriber</t>
  </si>
  <si>
    <t>Overlock i sidesømme, 
10+5mm søm i åbning.
Lyseblå tråd</t>
  </si>
  <si>
    <t>Overlock i sidesømme, 
10+5mm søm i åbning.
Blå tråd</t>
  </si>
  <si>
    <t>Overlock i sidesømme, 
10+5mm søm i åbning.
Grøn tråd</t>
  </si>
  <si>
    <t>Satinstribe 4 sider</t>
  </si>
  <si>
    <t>Søm to sider.
Egkant to sider.</t>
  </si>
  <si>
    <t>Uni/plain - intet mønster</t>
  </si>
  <si>
    <t>Satinstribe 2 lange sider</t>
  </si>
  <si>
    <t>Claus Nissen</t>
  </si>
  <si>
    <t>Håndklæde 50x100 
hotel</t>
  </si>
  <si>
    <t>Bademåtte 50x70
hotel</t>
  </si>
  <si>
    <t>Badehåndklæde 70x140 
hotel</t>
  </si>
  <si>
    <t>Badelagen100x150 
hotel</t>
  </si>
  <si>
    <t>Udfyldes af tilbudsgiver</t>
  </si>
  <si>
    <t>Mærkning / patch (duge): 
Thermopatch / Thermotex
Farve: sort</t>
  </si>
  <si>
    <t>Indeholder produkterne resin af nogen art? 
Beskriv + mængder</t>
  </si>
  <si>
    <t>Trækstyrke kæde
Efter 1 vask 
ISO 6330:2012 9N, F (A1)
ISO 13934-1:2013</t>
  </si>
  <si>
    <t>Trækstyrke skud
Efter 1 vask 
ISO 6330:2012 9N, F (A1)
ISO 13934-1:2013</t>
  </si>
  <si>
    <t>Brudstyrke
Efter 1 vask 
ISO 6330:2012 9N, F (A1)
ISO 13934-1:2013
ISO 13937-1:2000</t>
  </si>
  <si>
    <t>Pilling værdi
RTPT metode
Efter 1 vask 
ISO 6330:2012 9N, F (A1)
ISO 12945-3:2014</t>
  </si>
  <si>
    <t>4 sidet søm 
35 mm bred 
med geringhjørner</t>
  </si>
  <si>
    <t>Minimum ordre størrelse ved genbestilling</t>
  </si>
  <si>
    <t>Kommentarer til tilbud</t>
  </si>
  <si>
    <t>Bilag 1. til LS Fladt-tøjs projekt 2025</t>
  </si>
  <si>
    <t>Duge 220x230 hvide
(runde borde)</t>
  </si>
  <si>
    <t>Logo placering</t>
  </si>
  <si>
    <r>
      <t xml:space="preserve">Pris (DKK) pr. stk frit leveret (Incoterms DDP) LS adresse Tórshavn
Eksempel.: 75,34
</t>
    </r>
    <r>
      <rPr>
        <sz val="11"/>
        <color rgb="FFFF0000"/>
        <rFont val="Calibri"/>
        <family val="2"/>
      </rPr>
      <t>Ingen bogstaver</t>
    </r>
  </si>
  <si>
    <t>Strop (frotte-håndklæder)</t>
  </si>
  <si>
    <t>Leveringstid (kalenderuger)  LS Tórshavn fra ordre / indgåelse af aftale</t>
  </si>
  <si>
    <t>52%  polyester / 48% bomuld MVS(eller lignende - præciseres af tilbudsgiver) garner</t>
  </si>
  <si>
    <t>52%  polyester / 48% bomuld MVS (eller lignende - præciseres af tilbudsgiver) garner</t>
  </si>
  <si>
    <t>Hvidhed beskrivelse</t>
  </si>
  <si>
    <t>Ganz Griesser: 190-210
Tint: 0,0-1,5
CIE: 130-145</t>
  </si>
  <si>
    <t>neutral hvid / uden tinting</t>
  </si>
  <si>
    <r>
      <t xml:space="preserve">52%  </t>
    </r>
    <r>
      <rPr>
        <sz val="11"/>
        <color rgb="FFFF0000"/>
        <rFont val="Calibri"/>
        <family val="2"/>
      </rPr>
      <t>virgin</t>
    </r>
    <r>
      <rPr>
        <sz val="11"/>
        <color rgb="FF000000"/>
        <rFont val="Calibri"/>
        <family val="2"/>
      </rPr>
      <t xml:space="preserve"> polyester / 48% bomuld MVS (eller lignende - præciseres af tilbudsgiver) garner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</si>
</sst>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_-* #,##0_-;\-* #,##0_-;_-* &quot;-&quot;??_-;_-@_-"/>
    <numFmt numFmtId="166" formatCode="_-* #,##0.0_-;\-* #,##0.0_-;_-* &quot;-&quot;??_-;_-@_-"/>
    <numFmt numFmtId="167" formatCode="[$-F800]dddd\,\ mmmm\ dd\,\ yyyy"/>
    <numFmt numFmtId="168" formatCode="_-* #,##0.000_-;\-* #,##0.000_-;_-* &quot;-&quot;??_-;_-@_-"/>
    <numFmt numFmtId="169" formatCode="_-* #,##0.00\ _k_r_._-;\-* #,##0.00\ _k_r_._-;_-* &quot;-&quot;??\ _k_r_._-;_-@_-"/>
    <numFmt numFmtId="170" formatCode="_ * #,##0.00_ ;_ * \-#,##0.00_ ;_ * &quot;-&quot;??_ ;_ @_ "/>
  </numFmts>
  <fonts count="36" x14ac:knownFonts="1">
    <font>
      <sz val="11"/>
      <color rgb="FF000000"/>
      <name val="Calibri"/>
    </font>
    <font>
      <sz val="11"/>
      <color theme="1"/>
      <name val="Aptos Narrow"/>
      <family val="2"/>
      <scheme val="minor"/>
    </font>
    <font>
      <sz val="10"/>
      <color rgb="FF000000"/>
      <name val="Helvetica"/>
    </font>
    <font>
      <b/>
      <sz val="11"/>
      <color rgb="FF000000"/>
      <name val="Calibri"/>
      <family val="2"/>
    </font>
    <font>
      <sz val="11"/>
      <color rgb="FF000000"/>
      <name val="Calibri"/>
      <family val="2"/>
    </font>
    <font>
      <sz val="11"/>
      <color rgb="FF000000"/>
      <name val="Calibri"/>
      <family val="2"/>
    </font>
    <font>
      <b/>
      <sz val="11"/>
      <color theme="0"/>
      <name val="Aptos Narrow"/>
      <family val="2"/>
      <scheme val="minor"/>
    </font>
    <font>
      <b/>
      <sz val="9"/>
      <color indexed="81"/>
      <name val="Tahoma"/>
      <family val="2"/>
    </font>
    <font>
      <sz val="9"/>
      <color indexed="81"/>
      <name val="Tahoma"/>
      <family val="2"/>
    </font>
    <font>
      <sz val="10"/>
      <color rgb="FFFF0000"/>
      <name val="Helvetica"/>
    </font>
    <font>
      <sz val="11"/>
      <color rgb="FFFF0000"/>
      <name val="Calibri"/>
      <family val="2"/>
    </font>
    <font>
      <sz val="11"/>
      <name val="Calibri"/>
      <family val="2"/>
    </font>
    <font>
      <sz val="8"/>
      <name val="Calibri"/>
      <family val="2"/>
    </font>
    <font>
      <sz val="20"/>
      <color rgb="FFFF0000"/>
      <name val="Calibri"/>
      <family val="2"/>
    </font>
    <font>
      <sz val="11"/>
      <color rgb="FF9C0006"/>
      <name val="Aptos Narrow"/>
      <family val="2"/>
      <scheme val="minor"/>
    </font>
    <font>
      <sz val="11"/>
      <color rgb="FF9C5700"/>
      <name val="Aptos Narrow"/>
      <family val="2"/>
      <scheme val="minor"/>
    </font>
    <font>
      <sz val="11"/>
      <color rgb="FF006100"/>
      <name val="Aptos Narrow"/>
      <family val="2"/>
      <scheme val="minor"/>
    </font>
    <font>
      <sz val="11"/>
      <color theme="1"/>
      <name val="Calibri"/>
      <family val="2"/>
    </font>
    <font>
      <sz val="30"/>
      <color rgb="FF000000"/>
      <name val="Calibri"/>
      <family val="2"/>
    </font>
    <font>
      <b/>
      <sz val="11"/>
      <color rgb="FFFF0000"/>
      <name val="Calibri"/>
      <family val="2"/>
    </font>
    <font>
      <sz val="11"/>
      <name val="Calibri"/>
      <family val="2"/>
    </font>
    <font>
      <b/>
      <sz val="11"/>
      <name val="Aptos Narrow"/>
      <family val="2"/>
    </font>
    <font>
      <sz val="8"/>
      <name val="Calibri"/>
      <family val="2"/>
    </font>
    <font>
      <i/>
      <sz val="11"/>
      <color rgb="FF000000"/>
      <name val="Calibri"/>
      <family val="2"/>
    </font>
    <font>
      <sz val="11"/>
      <color theme="0"/>
      <name val="Calibri"/>
      <family val="2"/>
    </font>
    <font>
      <sz val="10"/>
      <name val="Arial"/>
      <family val="2"/>
    </font>
    <font>
      <sz val="10"/>
      <name val="Arial"/>
      <family val="2"/>
      <charset val="204"/>
    </font>
    <font>
      <sz val="10"/>
      <name val="Arial"/>
      <family val="2"/>
      <charset val="1"/>
    </font>
    <font>
      <sz val="10"/>
      <color indexed="8"/>
      <name val="Arial"/>
      <family val="2"/>
      <charset val="1"/>
    </font>
    <font>
      <sz val="10"/>
      <color indexed="81"/>
      <name val="Tahoma"/>
      <family val="2"/>
    </font>
    <font>
      <b/>
      <sz val="10"/>
      <color indexed="81"/>
      <name val="Tahoma"/>
      <family val="2"/>
    </font>
    <font>
      <b/>
      <sz val="11"/>
      <color theme="1"/>
      <name val="Calibri"/>
      <family val="2"/>
    </font>
    <font>
      <sz val="8"/>
      <name val="Calibri"/>
    </font>
    <font>
      <b/>
      <sz val="20"/>
      <color theme="0"/>
      <name val="Calibri"/>
      <family val="2"/>
    </font>
    <font>
      <sz val="11"/>
      <name val="Calibri"/>
    </font>
    <font>
      <b/>
      <sz val="30"/>
      <color rgb="FF000000"/>
      <name val="Calibri"/>
      <family val="2"/>
    </font>
  </fonts>
  <fills count="29">
    <fill>
      <patternFill patternType="none"/>
    </fill>
    <fill>
      <patternFill patternType="gray125"/>
    </fill>
    <fill>
      <patternFill patternType="solid">
        <fgColor rgb="FF9BAFDE"/>
      </patternFill>
    </fill>
    <fill>
      <patternFill patternType="solid">
        <fgColor rgb="FFEFEFEF"/>
      </patternFill>
    </fill>
    <fill>
      <patternFill patternType="solid">
        <fgColor theme="4"/>
        <bgColor theme="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EFEFEF"/>
        <bgColor rgb="FF000000"/>
      </patternFill>
    </fill>
    <fill>
      <patternFill patternType="solid">
        <fgColor rgb="FF9BAFDE"/>
        <bgColor indexed="64"/>
      </patternFill>
    </fill>
    <fill>
      <patternFill patternType="solid">
        <fgColor rgb="FFEFEFEF"/>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FFC7CE"/>
      </patternFill>
    </fill>
    <fill>
      <patternFill patternType="solid">
        <fgColor rgb="FFFFEB9C"/>
      </patternFill>
    </fill>
    <fill>
      <patternFill patternType="solid">
        <fgColor rgb="FFC6EFCE"/>
      </patternFill>
    </fill>
    <fill>
      <patternFill patternType="solid">
        <fgColor theme="5"/>
        <bgColor indexed="64"/>
      </patternFill>
    </fill>
    <fill>
      <patternFill patternType="solid">
        <fgColor theme="9" tint="0.39997558519241921"/>
        <bgColor indexed="64"/>
      </patternFill>
    </fill>
    <fill>
      <patternFill patternType="gray0625">
        <bgColor theme="0" tint="-4.9989318521683403E-2"/>
      </patternFill>
    </fill>
    <fill>
      <patternFill patternType="solid">
        <fgColor theme="5" tint="0.59999389629810485"/>
        <bgColor indexed="64"/>
      </patternFill>
    </fill>
    <fill>
      <patternFill patternType="solid">
        <fgColor theme="0"/>
        <bgColor indexed="64"/>
      </patternFill>
    </fill>
    <fill>
      <patternFill patternType="gray125">
        <bgColor theme="0" tint="-4.9989318521683403E-2"/>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F2F2"/>
        <bgColor rgb="FF000000"/>
      </patternFill>
    </fill>
  </fills>
  <borders count="27">
    <border>
      <left/>
      <right/>
      <top/>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bottom/>
      <diagonal/>
    </border>
    <border>
      <left/>
      <right style="thin">
        <color rgb="FF666666"/>
      </right>
      <top style="thin">
        <color rgb="FF666666"/>
      </top>
      <bottom style="thin">
        <color rgb="FF666666"/>
      </bottom>
      <diagonal/>
    </border>
    <border>
      <left style="thin">
        <color rgb="FF666666"/>
      </left>
      <right/>
      <top/>
      <bottom/>
      <diagonal/>
    </border>
    <border>
      <left style="thin">
        <color rgb="FF666666"/>
      </left>
      <right/>
      <top style="thin">
        <color rgb="FF666666"/>
      </top>
      <bottom style="thin">
        <color rgb="FF666666"/>
      </bottom>
      <diagonal/>
    </border>
    <border>
      <left/>
      <right style="thin">
        <color rgb="FF666666"/>
      </right>
      <top style="thin">
        <color rgb="FF666666"/>
      </top>
      <bottom/>
      <diagonal/>
    </border>
    <border>
      <left style="thin">
        <color rgb="FF666666"/>
      </left>
      <right style="thin">
        <color rgb="FF666666"/>
      </right>
      <top style="thin">
        <color rgb="FF666666"/>
      </top>
      <bottom/>
      <diagonal/>
    </border>
    <border>
      <left style="thin">
        <color rgb="FF666666"/>
      </left>
      <right/>
      <top style="thin">
        <color rgb="FF666666"/>
      </top>
      <bottom/>
      <diagonal/>
    </border>
    <border>
      <left style="thin">
        <color indexed="64"/>
      </left>
      <right style="thin">
        <color indexed="64"/>
      </right>
      <top style="thin">
        <color indexed="64"/>
      </top>
      <bottom style="thin">
        <color indexed="64"/>
      </bottom>
      <diagonal/>
    </border>
    <border>
      <left/>
      <right style="thin">
        <color rgb="FF666666"/>
      </right>
      <top/>
      <bottom/>
      <diagonal/>
    </border>
    <border>
      <left style="thin">
        <color rgb="FF666666"/>
      </left>
      <right/>
      <top/>
      <bottom style="thin">
        <color rgb="FF666666"/>
      </bottom>
      <diagonal/>
    </border>
    <border>
      <left/>
      <right style="thin">
        <color rgb="FF666666"/>
      </right>
      <top/>
      <bottom style="thin">
        <color rgb="FF66666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666666"/>
      </left>
      <right style="thin">
        <color rgb="FF666666"/>
      </right>
      <top/>
      <bottom style="thin">
        <color rgb="FF666666"/>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15">
    <xf numFmtId="0" fontId="0" fillId="0" borderId="0"/>
    <xf numFmtId="43" fontId="5" fillId="0" borderId="0" applyFont="0" applyFill="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 fillId="0" borderId="0"/>
    <xf numFmtId="170" fontId="1" fillId="0" borderId="0" applyFont="0" applyFill="0" applyBorder="0" applyAlignment="0" applyProtection="0"/>
    <xf numFmtId="0" fontId="25" fillId="0" borderId="0"/>
    <xf numFmtId="0" fontId="26" fillId="0" borderId="0"/>
    <xf numFmtId="0" fontId="27" fillId="0" borderId="0"/>
    <xf numFmtId="0" fontId="28" fillId="0" borderId="0"/>
    <xf numFmtId="0" fontId="27" fillId="0" borderId="0"/>
    <xf numFmtId="0" fontId="25" fillId="0" borderId="0"/>
    <xf numFmtId="0" fontId="4" fillId="0" borderId="0"/>
    <xf numFmtId="43" fontId="4" fillId="0" borderId="0" applyFont="0" applyFill="0" applyBorder="0" applyAlignment="0" applyProtection="0"/>
  </cellStyleXfs>
  <cellXfs count="276">
    <xf numFmtId="0" fontId="0" fillId="0" borderId="0" xfId="0"/>
    <xf numFmtId="0" fontId="2" fillId="0" borderId="0" xfId="0" applyFont="1" applyAlignment="1">
      <alignment horizontal="right" wrapText="1"/>
    </xf>
    <xf numFmtId="0" fontId="2" fillId="2" borderId="1" xfId="0" applyFont="1" applyFill="1" applyBorder="1" applyAlignment="1">
      <alignment horizontal="center" wrapText="1"/>
    </xf>
    <xf numFmtId="164" fontId="2" fillId="3" borderId="1" xfId="0" applyNumberFormat="1" applyFont="1" applyFill="1" applyBorder="1" applyAlignment="1">
      <alignment horizontal="right" wrapText="1"/>
    </xf>
    <xf numFmtId="0" fontId="2" fillId="2" borderId="1" xfId="0" applyFont="1" applyFill="1" applyBorder="1" applyAlignment="1">
      <alignment horizontal="left" wrapText="1"/>
    </xf>
    <xf numFmtId="164" fontId="2" fillId="2" borderId="1" xfId="0" applyNumberFormat="1" applyFont="1" applyFill="1" applyBorder="1" applyAlignment="1">
      <alignment horizontal="right" wrapText="1"/>
    </xf>
    <xf numFmtId="0" fontId="2" fillId="2" borderId="3" xfId="0" applyFont="1" applyFill="1" applyBorder="1" applyAlignment="1">
      <alignment horizontal="center" wrapText="1"/>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164" fontId="2" fillId="3" borderId="7" xfId="0" applyNumberFormat="1" applyFont="1" applyFill="1" applyBorder="1" applyAlignment="1">
      <alignment horizontal="right" wrapText="1"/>
    </xf>
    <xf numFmtId="164"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164" fontId="2" fillId="3" borderId="5" xfId="0" applyNumberFormat="1" applyFont="1" applyFill="1" applyBorder="1" applyAlignment="1">
      <alignment vertical="center" wrapText="1"/>
    </xf>
    <xf numFmtId="164" fontId="2" fillId="3" borderId="1" xfId="0" applyNumberFormat="1" applyFont="1" applyFill="1" applyBorder="1" applyAlignment="1">
      <alignment wrapText="1"/>
    </xf>
    <xf numFmtId="0" fontId="2" fillId="3" borderId="1" xfId="0" applyFont="1" applyFill="1" applyBorder="1" applyAlignment="1">
      <alignment wrapText="1"/>
    </xf>
    <xf numFmtId="164" fontId="2" fillId="3" borderId="5" xfId="0" applyNumberFormat="1" applyFont="1" applyFill="1" applyBorder="1" applyAlignment="1">
      <alignment wrapText="1"/>
    </xf>
    <xf numFmtId="164" fontId="2" fillId="3" borderId="7" xfId="0" applyNumberFormat="1" applyFont="1" applyFill="1" applyBorder="1" applyAlignment="1">
      <alignment wrapText="1"/>
    </xf>
    <xf numFmtId="0" fontId="2" fillId="3" borderId="7" xfId="0" applyFont="1" applyFill="1" applyBorder="1" applyAlignment="1">
      <alignment wrapText="1"/>
    </xf>
    <xf numFmtId="164" fontId="2" fillId="3" borderId="8" xfId="0" applyNumberFormat="1" applyFont="1" applyFill="1" applyBorder="1" applyAlignment="1">
      <alignment wrapText="1"/>
    </xf>
    <xf numFmtId="0" fontId="2" fillId="2" borderId="4" xfId="0" applyFont="1" applyFill="1" applyBorder="1" applyAlignment="1">
      <alignment wrapText="1"/>
    </xf>
    <xf numFmtId="164" fontId="2" fillId="2" borderId="1" xfId="0" applyNumberFormat="1" applyFont="1" applyFill="1" applyBorder="1" applyAlignment="1">
      <alignment wrapText="1"/>
    </xf>
    <xf numFmtId="0" fontId="2" fillId="2" borderId="1" xfId="0" applyFont="1" applyFill="1" applyBorder="1" applyAlignment="1">
      <alignment wrapText="1"/>
    </xf>
    <xf numFmtId="0" fontId="2" fillId="2" borderId="2" xfId="0" applyFont="1" applyFill="1" applyBorder="1" applyAlignment="1">
      <alignment wrapText="1"/>
    </xf>
    <xf numFmtId="0" fontId="3" fillId="0" borderId="9" xfId="0" applyFont="1" applyBorder="1" applyAlignment="1">
      <alignment horizontal="center"/>
    </xf>
    <xf numFmtId="0" fontId="4" fillId="0" borderId="0" xfId="0" applyFont="1"/>
    <xf numFmtId="0" fontId="6" fillId="4" borderId="9" xfId="0" applyFont="1" applyFill="1" applyBorder="1" applyAlignment="1">
      <alignment horizontal="left" vertical="top"/>
    </xf>
    <xf numFmtId="0" fontId="6" fillId="4" borderId="9" xfId="0" applyFont="1" applyFill="1" applyBorder="1" applyAlignment="1">
      <alignment horizontal="left" vertical="top" wrapText="1"/>
    </xf>
    <xf numFmtId="0" fontId="0" fillId="5" borderId="9" xfId="0" applyFill="1" applyBorder="1"/>
    <xf numFmtId="0" fontId="0" fillId="5" borderId="9" xfId="0" applyFill="1" applyBorder="1" applyAlignment="1">
      <alignment horizontal="left"/>
    </xf>
    <xf numFmtId="2" fontId="0" fillId="5" borderId="9" xfId="0" applyNumberFormat="1" applyFill="1" applyBorder="1"/>
    <xf numFmtId="0" fontId="0" fillId="6" borderId="9" xfId="0" applyFill="1" applyBorder="1"/>
    <xf numFmtId="0" fontId="0" fillId="5" borderId="13" xfId="0" applyFill="1" applyBorder="1"/>
    <xf numFmtId="2" fontId="0" fillId="5" borderId="9" xfId="0" quotePrefix="1" applyNumberFormat="1" applyFill="1" applyBorder="1" applyAlignment="1">
      <alignment horizontal="right"/>
    </xf>
    <xf numFmtId="0" fontId="0" fillId="7" borderId="9" xfId="0" applyFill="1" applyBorder="1" applyAlignment="1">
      <alignment horizontal="left"/>
    </xf>
    <xf numFmtId="0" fontId="0" fillId="7" borderId="9" xfId="0" applyFill="1" applyBorder="1"/>
    <xf numFmtId="2" fontId="0" fillId="7" borderId="9" xfId="0" applyNumberFormat="1" applyFill="1" applyBorder="1"/>
    <xf numFmtId="1" fontId="0" fillId="8" borderId="9" xfId="0" applyNumberFormat="1" applyFill="1" applyBorder="1" applyAlignment="1">
      <alignment horizontal="left"/>
    </xf>
    <xf numFmtId="0" fontId="0" fillId="8" borderId="9" xfId="0" applyFill="1" applyBorder="1"/>
    <xf numFmtId="0" fontId="0" fillId="8" borderId="9" xfId="0" applyFill="1" applyBorder="1" applyAlignment="1">
      <alignment horizontal="left"/>
    </xf>
    <xf numFmtId="2" fontId="0" fillId="8" borderId="9" xfId="0" applyNumberFormat="1" applyFill="1" applyBorder="1"/>
    <xf numFmtId="43" fontId="0" fillId="0" borderId="0" xfId="1" applyFont="1"/>
    <xf numFmtId="0" fontId="2" fillId="9" borderId="0" xfId="0" applyFont="1" applyFill="1" applyAlignment="1">
      <alignment horizontal="right" wrapText="1"/>
    </xf>
    <xf numFmtId="165" fontId="2" fillId="9" borderId="0" xfId="0" applyNumberFormat="1" applyFont="1" applyFill="1" applyAlignment="1">
      <alignment horizontal="right" wrapText="1"/>
    </xf>
    <xf numFmtId="43" fontId="2" fillId="3" borderId="5" xfId="1" applyFont="1" applyFill="1" applyBorder="1" applyAlignment="1">
      <alignment wrapText="1"/>
    </xf>
    <xf numFmtId="43" fontId="2" fillId="3" borderId="8" xfId="1" applyFont="1" applyFill="1" applyBorder="1" applyAlignment="1">
      <alignment wrapText="1"/>
    </xf>
    <xf numFmtId="43" fontId="2" fillId="11" borderId="5" xfId="1" applyFont="1" applyFill="1" applyBorder="1" applyAlignment="1">
      <alignment wrapText="1"/>
    </xf>
    <xf numFmtId="43" fontId="3" fillId="0" borderId="14" xfId="1" applyFont="1" applyBorder="1" applyAlignment="1">
      <alignment horizontal="center"/>
    </xf>
    <xf numFmtId="0" fontId="2" fillId="3" borderId="10" xfId="0" applyFont="1" applyFill="1" applyBorder="1" applyAlignment="1">
      <alignment horizontal="left" wrapText="1"/>
    </xf>
    <xf numFmtId="164" fontId="2" fillId="3" borderId="2" xfId="0" applyNumberFormat="1" applyFont="1" applyFill="1" applyBorder="1" applyAlignment="1">
      <alignment wrapText="1"/>
    </xf>
    <xf numFmtId="0" fontId="2" fillId="3" borderId="2" xfId="0" applyFont="1" applyFill="1" applyBorder="1" applyAlignment="1">
      <alignment wrapText="1"/>
    </xf>
    <xf numFmtId="164" fontId="2" fillId="3" borderId="4" xfId="0" applyNumberFormat="1" applyFont="1" applyFill="1" applyBorder="1" applyAlignment="1">
      <alignment wrapText="1"/>
    </xf>
    <xf numFmtId="43" fontId="2" fillId="3" borderId="4" xfId="1" applyFont="1" applyFill="1" applyBorder="1" applyAlignment="1">
      <alignment wrapText="1"/>
    </xf>
    <xf numFmtId="0" fontId="2" fillId="3" borderId="12" xfId="0" applyFont="1" applyFill="1" applyBorder="1" applyAlignment="1">
      <alignment horizontal="left" wrapText="1"/>
    </xf>
    <xf numFmtId="164" fontId="2" fillId="3" borderId="15" xfId="0" applyNumberFormat="1" applyFont="1" applyFill="1" applyBorder="1" applyAlignment="1">
      <alignment wrapText="1"/>
    </xf>
    <xf numFmtId="0" fontId="2" fillId="3" borderId="15" xfId="0" applyFont="1" applyFill="1" applyBorder="1" applyAlignment="1">
      <alignment wrapText="1"/>
    </xf>
    <xf numFmtId="164" fontId="2" fillId="3" borderId="11" xfId="0" applyNumberFormat="1" applyFont="1" applyFill="1" applyBorder="1" applyAlignment="1">
      <alignment wrapText="1"/>
    </xf>
    <xf numFmtId="43" fontId="2" fillId="3" borderId="11" xfId="1" applyFont="1" applyFill="1" applyBorder="1" applyAlignment="1">
      <alignment wrapText="1"/>
    </xf>
    <xf numFmtId="0" fontId="2" fillId="2" borderId="15" xfId="0" applyFont="1" applyFill="1" applyBorder="1" applyAlignment="1">
      <alignment horizontal="left" wrapText="1"/>
    </xf>
    <xf numFmtId="164" fontId="2" fillId="2" borderId="15" xfId="0" applyNumberFormat="1" applyFont="1" applyFill="1" applyBorder="1" applyAlignment="1">
      <alignment wrapText="1"/>
    </xf>
    <xf numFmtId="165" fontId="2" fillId="2" borderId="15" xfId="1" applyNumberFormat="1" applyFont="1" applyFill="1" applyBorder="1" applyAlignment="1">
      <alignment wrapText="1"/>
    </xf>
    <xf numFmtId="43" fontId="2" fillId="2" borderId="15" xfId="1" applyFont="1" applyFill="1" applyBorder="1" applyAlignment="1">
      <alignment wrapText="1"/>
    </xf>
    <xf numFmtId="0" fontId="2" fillId="2" borderId="9" xfId="0" applyFont="1" applyFill="1" applyBorder="1" applyAlignment="1">
      <alignment horizontal="center" wrapText="1"/>
    </xf>
    <xf numFmtId="0" fontId="2" fillId="2" borderId="9" xfId="0" applyFont="1" applyFill="1" applyBorder="1" applyAlignment="1">
      <alignment wrapText="1"/>
    </xf>
    <xf numFmtId="165" fontId="2" fillId="2" borderId="9" xfId="1" applyNumberFormat="1" applyFont="1" applyFill="1" applyBorder="1" applyAlignment="1">
      <alignment wrapText="1"/>
    </xf>
    <xf numFmtId="43" fontId="2" fillId="2" borderId="9" xfId="1" applyFont="1" applyFill="1" applyBorder="1" applyAlignment="1">
      <alignment wrapText="1"/>
    </xf>
    <xf numFmtId="0" fontId="2" fillId="10" borderId="9" xfId="0" applyFont="1" applyFill="1" applyBorder="1" applyAlignment="1">
      <alignment horizontal="center" wrapText="1"/>
    </xf>
    <xf numFmtId="0" fontId="2" fillId="3" borderId="9" xfId="0" applyFont="1" applyFill="1" applyBorder="1" applyAlignment="1">
      <alignment horizontal="left" wrapText="1"/>
    </xf>
    <xf numFmtId="164" fontId="2" fillId="3" borderId="9" xfId="0" applyNumberFormat="1" applyFont="1" applyFill="1" applyBorder="1" applyAlignment="1">
      <alignment vertical="center" wrapText="1"/>
    </xf>
    <xf numFmtId="165" fontId="2" fillId="3" borderId="9" xfId="1" applyNumberFormat="1" applyFont="1" applyFill="1" applyBorder="1" applyAlignment="1">
      <alignment vertical="center" wrapText="1"/>
    </xf>
    <xf numFmtId="43" fontId="2" fillId="3" borderId="9" xfId="1" applyFont="1" applyFill="1" applyBorder="1" applyAlignment="1">
      <alignment vertical="center" wrapText="1"/>
    </xf>
    <xf numFmtId="0" fontId="2" fillId="9" borderId="9" xfId="0" applyFont="1" applyFill="1" applyBorder="1" applyAlignment="1">
      <alignment horizontal="right" wrapText="1"/>
    </xf>
    <xf numFmtId="165" fontId="2" fillId="9" borderId="9" xfId="1" applyNumberFormat="1" applyFont="1" applyFill="1" applyBorder="1" applyAlignment="1">
      <alignment horizontal="right" wrapText="1"/>
    </xf>
    <xf numFmtId="165" fontId="2" fillId="9" borderId="9" xfId="0" applyNumberFormat="1" applyFont="1" applyFill="1" applyBorder="1" applyAlignment="1">
      <alignment horizontal="right" wrapText="1"/>
    </xf>
    <xf numFmtId="164" fontId="2" fillId="3" borderId="9" xfId="0" applyNumberFormat="1" applyFont="1" applyFill="1" applyBorder="1" applyAlignment="1">
      <alignment wrapText="1"/>
    </xf>
    <xf numFmtId="165" fontId="2" fillId="3" borderId="9" xfId="1" applyNumberFormat="1" applyFont="1" applyFill="1" applyBorder="1" applyAlignment="1">
      <alignment wrapText="1"/>
    </xf>
    <xf numFmtId="43" fontId="2" fillId="3" borderId="9" xfId="1" applyFont="1" applyFill="1" applyBorder="1" applyAlignment="1">
      <alignment wrapText="1"/>
    </xf>
    <xf numFmtId="43" fontId="2" fillId="11" borderId="9" xfId="1" applyFont="1" applyFill="1" applyBorder="1" applyAlignment="1">
      <alignment wrapText="1"/>
    </xf>
    <xf numFmtId="0" fontId="0" fillId="0" borderId="0" xfId="0" applyAlignment="1">
      <alignment horizontal="center"/>
    </xf>
    <xf numFmtId="0" fontId="9" fillId="0" borderId="0" xfId="0" applyFont="1" applyAlignment="1">
      <alignment horizontal="right" wrapText="1"/>
    </xf>
    <xf numFmtId="0" fontId="9" fillId="3" borderId="9" xfId="0" applyFont="1" applyFill="1" applyBorder="1" applyAlignment="1">
      <alignment horizontal="left" wrapText="1"/>
    </xf>
    <xf numFmtId="164" fontId="9" fillId="3" borderId="9" xfId="0" applyNumberFormat="1" applyFont="1" applyFill="1" applyBorder="1" applyAlignment="1">
      <alignment vertical="center" wrapText="1"/>
    </xf>
    <xf numFmtId="165" fontId="9" fillId="3" borderId="9" xfId="1" applyNumberFormat="1" applyFont="1" applyFill="1" applyBorder="1" applyAlignment="1">
      <alignment vertical="center" wrapText="1"/>
    </xf>
    <xf numFmtId="43" fontId="9" fillId="11" borderId="9" xfId="1" applyFont="1" applyFill="1" applyBorder="1" applyAlignment="1">
      <alignment wrapText="1"/>
    </xf>
    <xf numFmtId="0" fontId="9" fillId="9" borderId="9" xfId="0" applyFont="1" applyFill="1" applyBorder="1" applyAlignment="1">
      <alignment horizontal="right" wrapText="1"/>
    </xf>
    <xf numFmtId="43" fontId="9" fillId="3" borderId="9" xfId="1" applyFont="1" applyFill="1" applyBorder="1" applyAlignment="1">
      <alignment vertical="center" wrapText="1"/>
    </xf>
    <xf numFmtId="165" fontId="9" fillId="9" borderId="9" xfId="0" applyNumberFormat="1" applyFont="1" applyFill="1" applyBorder="1" applyAlignment="1">
      <alignment horizontal="right" wrapText="1"/>
    </xf>
    <xf numFmtId="0" fontId="10" fillId="0" borderId="0" xfId="0" applyFont="1"/>
    <xf numFmtId="43" fontId="10" fillId="0" borderId="0" xfId="1" applyFont="1"/>
    <xf numFmtId="0" fontId="10" fillId="8" borderId="9" xfId="0" applyFont="1" applyFill="1" applyBorder="1"/>
    <xf numFmtId="0" fontId="2" fillId="6" borderId="0" xfId="0" applyFont="1" applyFill="1" applyAlignment="1">
      <alignment horizontal="right" wrapText="1"/>
    </xf>
    <xf numFmtId="0" fontId="0" fillId="12" borderId="19" xfId="0" applyFill="1" applyBorder="1"/>
    <xf numFmtId="0" fontId="0" fillId="12" borderId="9" xfId="0" applyFill="1" applyBorder="1"/>
    <xf numFmtId="0" fontId="0" fillId="12" borderId="20" xfId="0" applyFill="1" applyBorder="1"/>
    <xf numFmtId="0" fontId="0" fillId="12" borderId="21" xfId="0" applyFill="1" applyBorder="1"/>
    <xf numFmtId="0" fontId="0" fillId="12" borderId="14" xfId="0" applyFill="1" applyBorder="1"/>
    <xf numFmtId="0" fontId="11" fillId="13" borderId="16" xfId="0" applyFont="1" applyFill="1" applyBorder="1"/>
    <xf numFmtId="0" fontId="11" fillId="13" borderId="17" xfId="0" applyFont="1" applyFill="1" applyBorder="1"/>
    <xf numFmtId="0" fontId="11" fillId="13" borderId="18" xfId="0" applyFont="1" applyFill="1" applyBorder="1"/>
    <xf numFmtId="0" fontId="3" fillId="14" borderId="9" xfId="0" applyFont="1" applyFill="1" applyBorder="1"/>
    <xf numFmtId="0" fontId="0" fillId="6" borderId="19" xfId="0" applyFill="1" applyBorder="1"/>
    <xf numFmtId="0" fontId="4" fillId="12" borderId="19" xfId="0" applyFont="1" applyFill="1" applyBorder="1"/>
    <xf numFmtId="0" fontId="4" fillId="12" borderId="9" xfId="0" applyFont="1" applyFill="1" applyBorder="1"/>
    <xf numFmtId="0" fontId="4" fillId="6" borderId="19" xfId="0" applyFont="1" applyFill="1" applyBorder="1"/>
    <xf numFmtId="0" fontId="4" fillId="0" borderId="19" xfId="0" applyFont="1" applyBorder="1"/>
    <xf numFmtId="43" fontId="0" fillId="12" borderId="9" xfId="1" applyFont="1" applyFill="1" applyBorder="1"/>
    <xf numFmtId="43" fontId="0" fillId="12" borderId="14" xfId="1" applyFont="1" applyFill="1" applyBorder="1"/>
    <xf numFmtId="43" fontId="3" fillId="14" borderId="9" xfId="1" applyFont="1" applyFill="1" applyBorder="1"/>
    <xf numFmtId="166" fontId="0" fillId="12" borderId="9" xfId="1" applyNumberFormat="1" applyFont="1" applyFill="1" applyBorder="1"/>
    <xf numFmtId="166" fontId="0" fillId="12" borderId="20" xfId="1" applyNumberFormat="1" applyFont="1" applyFill="1" applyBorder="1"/>
    <xf numFmtId="43" fontId="11" fillId="13" borderId="17" xfId="1" applyFont="1" applyFill="1" applyBorder="1"/>
    <xf numFmtId="166" fontId="3" fillId="14" borderId="9" xfId="1" applyNumberFormat="1" applyFont="1" applyFill="1" applyBorder="1"/>
    <xf numFmtId="0" fontId="10" fillId="12" borderId="9" xfId="0" applyFont="1" applyFill="1" applyBorder="1"/>
    <xf numFmtId="0" fontId="13" fillId="15" borderId="0" xfId="0" applyFont="1" applyFill="1" applyAlignment="1">
      <alignment horizontal="center"/>
    </xf>
    <xf numFmtId="0" fontId="11" fillId="12" borderId="9" xfId="0" applyFont="1" applyFill="1" applyBorder="1"/>
    <xf numFmtId="0" fontId="10" fillId="15" borderId="9" xfId="0" applyFont="1" applyFill="1" applyBorder="1"/>
    <xf numFmtId="0" fontId="10" fillId="15" borderId="14" xfId="0" applyFont="1" applyFill="1" applyBorder="1"/>
    <xf numFmtId="0" fontId="11" fillId="12" borderId="19" xfId="0" applyFont="1" applyFill="1" applyBorder="1"/>
    <xf numFmtId="43" fontId="0" fillId="6" borderId="14" xfId="1" applyFont="1" applyFill="1" applyBorder="1"/>
    <xf numFmtId="0" fontId="15" fillId="17" borderId="0" xfId="3" applyAlignment="1">
      <alignment horizontal="right" wrapText="1"/>
    </xf>
    <xf numFmtId="0" fontId="16" fillId="18" borderId="9" xfId="4" applyBorder="1"/>
    <xf numFmtId="0" fontId="4" fillId="0" borderId="0" xfId="0" applyFont="1" applyAlignment="1">
      <alignment horizontal="center" wrapText="1"/>
    </xf>
    <xf numFmtId="0" fontId="4" fillId="0" borderId="0" xfId="0" applyFont="1" applyAlignment="1">
      <alignment horizontal="center"/>
    </xf>
    <xf numFmtId="0" fontId="15" fillId="17" borderId="0" xfId="3"/>
    <xf numFmtId="0" fontId="18" fillId="0" borderId="0" xfId="0" applyFont="1" applyAlignment="1">
      <alignment horizontal="left"/>
    </xf>
    <xf numFmtId="165" fontId="0" fillId="12" borderId="9" xfId="1" applyNumberFormat="1" applyFont="1" applyFill="1" applyBorder="1"/>
    <xf numFmtId="165" fontId="0" fillId="12" borderId="14" xfId="1" applyNumberFormat="1" applyFont="1" applyFill="1" applyBorder="1"/>
    <xf numFmtId="165" fontId="0" fillId="6" borderId="9" xfId="1" applyNumberFormat="1" applyFont="1" applyFill="1" applyBorder="1"/>
    <xf numFmtId="165" fontId="0" fillId="0" borderId="0" xfId="1" applyNumberFormat="1" applyFont="1"/>
    <xf numFmtId="165" fontId="11" fillId="13" borderId="17" xfId="1" applyNumberFormat="1" applyFont="1" applyFill="1" applyBorder="1" applyAlignment="1">
      <alignment wrapText="1"/>
    </xf>
    <xf numFmtId="165" fontId="0" fillId="6" borderId="14" xfId="1" applyNumberFormat="1" applyFont="1" applyFill="1" applyBorder="1"/>
    <xf numFmtId="165" fontId="3" fillId="14" borderId="9" xfId="1" applyNumberFormat="1" applyFont="1" applyFill="1" applyBorder="1"/>
    <xf numFmtId="0" fontId="4" fillId="19" borderId="0" xfId="0" applyFont="1" applyFill="1"/>
    <xf numFmtId="0" fontId="0" fillId="19" borderId="9" xfId="0" applyFill="1" applyBorder="1"/>
    <xf numFmtId="0" fontId="4" fillId="20" borderId="0" xfId="0" applyFont="1" applyFill="1"/>
    <xf numFmtId="165" fontId="4" fillId="6" borderId="0" xfId="1" applyNumberFormat="1" applyFont="1" applyFill="1"/>
    <xf numFmtId="165" fontId="0" fillId="21" borderId="9" xfId="1" applyNumberFormat="1" applyFont="1" applyFill="1" applyBorder="1"/>
    <xf numFmtId="167" fontId="0" fillId="0" borderId="0" xfId="0" applyNumberFormat="1"/>
    <xf numFmtId="0" fontId="4" fillId="22" borderId="0" xfId="0" applyFont="1" applyFill="1"/>
    <xf numFmtId="165" fontId="0" fillId="22" borderId="9" xfId="1" applyNumberFormat="1" applyFont="1" applyFill="1" applyBorder="1"/>
    <xf numFmtId="165" fontId="17" fillId="21" borderId="9" xfId="1" applyNumberFormat="1" applyFont="1" applyFill="1" applyBorder="1"/>
    <xf numFmtId="0" fontId="0" fillId="0" borderId="21" xfId="0" applyBorder="1"/>
    <xf numFmtId="0" fontId="0" fillId="0" borderId="14" xfId="0" applyBorder="1"/>
    <xf numFmtId="43" fontId="0" fillId="0" borderId="14" xfId="1" applyFont="1" applyFill="1" applyBorder="1"/>
    <xf numFmtId="166" fontId="0" fillId="0" borderId="14" xfId="1" applyNumberFormat="1" applyFont="1" applyFill="1" applyBorder="1"/>
    <xf numFmtId="166" fontId="0" fillId="0" borderId="22" xfId="1" applyNumberFormat="1" applyFont="1" applyFill="1" applyBorder="1"/>
    <xf numFmtId="43" fontId="0" fillId="19" borderId="9" xfId="1" applyFont="1" applyFill="1" applyBorder="1"/>
    <xf numFmtId="43" fontId="0" fillId="19" borderId="14" xfId="1" applyFont="1" applyFill="1" applyBorder="1"/>
    <xf numFmtId="14" fontId="0" fillId="0" borderId="0" xfId="0" applyNumberFormat="1"/>
    <xf numFmtId="0" fontId="4" fillId="12" borderId="19" xfId="0" applyFont="1" applyFill="1" applyBorder="1" applyAlignment="1">
      <alignment wrapText="1"/>
    </xf>
    <xf numFmtId="0" fontId="11" fillId="13" borderId="17" xfId="0" applyFont="1" applyFill="1" applyBorder="1" applyAlignment="1">
      <alignment wrapText="1"/>
    </xf>
    <xf numFmtId="0" fontId="11" fillId="13" borderId="9" xfId="0" applyFont="1" applyFill="1" applyBorder="1"/>
    <xf numFmtId="0" fontId="4" fillId="12" borderId="9" xfId="0" applyFont="1" applyFill="1" applyBorder="1" applyAlignment="1">
      <alignment horizontal="left" vertical="top" wrapText="1"/>
    </xf>
    <xf numFmtId="0" fontId="0" fillId="12" borderId="9" xfId="0" applyFill="1" applyBorder="1" applyAlignment="1">
      <alignment horizontal="left" vertical="top" wrapText="1"/>
    </xf>
    <xf numFmtId="0" fontId="4" fillId="12" borderId="17" xfId="0" applyFont="1" applyFill="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12" borderId="17" xfId="0" applyFill="1" applyBorder="1" applyAlignment="1">
      <alignment horizontal="left" vertical="top" wrapText="1"/>
    </xf>
    <xf numFmtId="0" fontId="0" fillId="12" borderId="14" xfId="0" applyFill="1" applyBorder="1" applyAlignment="1">
      <alignment horizontal="left" vertical="top" wrapText="1"/>
    </xf>
    <xf numFmtId="0" fontId="20" fillId="13" borderId="17" xfId="0" applyFont="1" applyFill="1" applyBorder="1"/>
    <xf numFmtId="0" fontId="20" fillId="13" borderId="17" xfId="0" applyFont="1" applyFill="1" applyBorder="1" applyAlignment="1">
      <alignment wrapText="1"/>
    </xf>
    <xf numFmtId="0" fontId="19" fillId="0" borderId="0" xfId="0" applyFont="1"/>
    <xf numFmtId="43" fontId="4" fillId="12" borderId="9" xfId="1" applyFont="1" applyFill="1" applyBorder="1" applyAlignment="1">
      <alignment horizontal="left" vertical="top" wrapText="1"/>
    </xf>
    <xf numFmtId="43" fontId="0" fillId="12" borderId="9" xfId="1" applyFont="1" applyFill="1" applyBorder="1" applyAlignment="1">
      <alignment horizontal="left" vertical="top" wrapText="1"/>
    </xf>
    <xf numFmtId="168" fontId="0" fillId="0" borderId="0" xfId="1" applyNumberFormat="1" applyFont="1"/>
    <xf numFmtId="168" fontId="11" fillId="13" borderId="17" xfId="1" applyNumberFormat="1" applyFont="1" applyFill="1" applyBorder="1"/>
    <xf numFmtId="168" fontId="0" fillId="12" borderId="9" xfId="1" applyNumberFormat="1" applyFont="1" applyFill="1" applyBorder="1" applyAlignment="1">
      <alignment horizontal="left" vertical="top"/>
    </xf>
    <xf numFmtId="168" fontId="3" fillId="14" borderId="9" xfId="1" applyNumberFormat="1" applyFont="1" applyFill="1" applyBorder="1"/>
    <xf numFmtId="43" fontId="16" fillId="18" borderId="9" xfId="4" applyNumberFormat="1" applyBorder="1" applyAlignment="1">
      <alignment horizontal="left" vertical="top" wrapText="1"/>
    </xf>
    <xf numFmtId="0" fontId="0" fillId="0" borderId="0" xfId="0" applyAlignment="1">
      <alignment vertical="top"/>
    </xf>
    <xf numFmtId="0" fontId="21" fillId="0" borderId="0" xfId="0" applyFont="1" applyAlignment="1">
      <alignment vertical="top"/>
    </xf>
    <xf numFmtId="0" fontId="0" fillId="0" borderId="24" xfId="0" applyBorder="1"/>
    <xf numFmtId="0" fontId="0" fillId="0" borderId="25" xfId="0" applyBorder="1"/>
    <xf numFmtId="0" fontId="21" fillId="0" borderId="25" xfId="0" applyFont="1" applyBorder="1"/>
    <xf numFmtId="0" fontId="0" fillId="0" borderId="25" xfId="0" applyBorder="1" applyAlignment="1">
      <alignment wrapText="1"/>
    </xf>
    <xf numFmtId="0" fontId="0" fillId="23" borderId="0" xfId="0" applyFill="1" applyAlignment="1">
      <alignment vertical="top"/>
    </xf>
    <xf numFmtId="0" fontId="0" fillId="23" borderId="0" xfId="0" applyFill="1"/>
    <xf numFmtId="3" fontId="0" fillId="23" borderId="0" xfId="0" applyNumberFormat="1" applyFill="1"/>
    <xf numFmtId="3" fontId="21" fillId="23" borderId="0" xfId="0" applyNumberFormat="1" applyFont="1" applyFill="1"/>
    <xf numFmtId="0" fontId="0" fillId="6" borderId="0" xfId="0" applyFill="1"/>
    <xf numFmtId="16" fontId="0" fillId="12" borderId="9" xfId="0" applyNumberFormat="1" applyFill="1" applyBorder="1" applyAlignment="1">
      <alignment horizontal="left" vertical="top" wrapText="1"/>
    </xf>
    <xf numFmtId="0" fontId="11" fillId="13" borderId="9" xfId="0" applyFont="1" applyFill="1" applyBorder="1" applyAlignment="1">
      <alignment horizontal="center"/>
    </xf>
    <xf numFmtId="0" fontId="0" fillId="12" borderId="9" xfId="0" applyFill="1" applyBorder="1" applyAlignment="1">
      <alignment horizontal="center" vertical="top" wrapText="1"/>
    </xf>
    <xf numFmtId="0" fontId="0" fillId="0" borderId="9" xfId="0" applyBorder="1" applyAlignment="1">
      <alignment horizontal="center" vertical="top" wrapText="1"/>
    </xf>
    <xf numFmtId="0" fontId="0" fillId="12" borderId="9" xfId="0" applyFill="1" applyBorder="1" applyAlignment="1">
      <alignment horizontal="left" vertical="top"/>
    </xf>
    <xf numFmtId="165" fontId="0" fillId="12" borderId="9" xfId="1" applyNumberFormat="1" applyFont="1" applyFill="1" applyBorder="1" applyAlignment="1">
      <alignment horizontal="left" vertical="top"/>
    </xf>
    <xf numFmtId="165" fontId="16" fillId="18" borderId="9" xfId="4" applyNumberFormat="1" applyBorder="1" applyAlignment="1">
      <alignment horizontal="left" vertical="top"/>
    </xf>
    <xf numFmtId="0" fontId="4" fillId="12" borderId="9" xfId="0" applyFont="1" applyFill="1" applyBorder="1" applyAlignment="1">
      <alignment horizontal="left" vertical="top"/>
    </xf>
    <xf numFmtId="165" fontId="0" fillId="24" borderId="9" xfId="1" applyNumberFormat="1" applyFont="1" applyFill="1" applyBorder="1" applyAlignment="1">
      <alignment horizontal="left" vertical="top"/>
    </xf>
    <xf numFmtId="165" fontId="14" fillId="16" borderId="9" xfId="2" applyNumberFormat="1" applyBorder="1" applyAlignment="1">
      <alignment horizontal="left" vertical="top"/>
    </xf>
    <xf numFmtId="165" fontId="0" fillId="12" borderId="14" xfId="0" applyNumberFormat="1" applyFill="1" applyBorder="1" applyAlignment="1">
      <alignment horizontal="left" vertical="top"/>
    </xf>
    <xf numFmtId="165" fontId="0" fillId="12" borderId="14" xfId="1" applyNumberFormat="1" applyFont="1" applyFill="1" applyBorder="1" applyAlignment="1">
      <alignment horizontal="left" vertical="top"/>
    </xf>
    <xf numFmtId="165" fontId="16" fillId="18" borderId="14" xfId="4" applyNumberFormat="1" applyBorder="1" applyAlignment="1">
      <alignment horizontal="left" vertical="top"/>
    </xf>
    <xf numFmtId="0" fontId="4" fillId="12" borderId="19" xfId="0" applyFont="1" applyFill="1" applyBorder="1" applyAlignment="1">
      <alignment horizontal="left" vertical="top"/>
    </xf>
    <xf numFmtId="0" fontId="16" fillId="18" borderId="0" xfId="4" applyAlignment="1">
      <alignment vertical="top"/>
    </xf>
    <xf numFmtId="0" fontId="16" fillId="18" borderId="25" xfId="4" applyBorder="1"/>
    <xf numFmtId="0" fontId="11" fillId="6" borderId="17" xfId="0" applyFont="1" applyFill="1" applyBorder="1"/>
    <xf numFmtId="0" fontId="0" fillId="6" borderId="0" xfId="0" applyFill="1" applyAlignment="1">
      <alignment horizontal="center"/>
    </xf>
    <xf numFmtId="168" fontId="10" fillId="6" borderId="0" xfId="1" applyNumberFormat="1" applyFont="1" applyFill="1"/>
    <xf numFmtId="165" fontId="19" fillId="6" borderId="0" xfId="1" applyNumberFormat="1" applyFont="1" applyFill="1"/>
    <xf numFmtId="0" fontId="3" fillId="23" borderId="0" xfId="0" applyFont="1" applyFill="1" applyAlignment="1">
      <alignment vertical="top"/>
    </xf>
    <xf numFmtId="0" fontId="0" fillId="25" borderId="0" xfId="0" applyFill="1"/>
    <xf numFmtId="165" fontId="0" fillId="25" borderId="0" xfId="1" applyNumberFormat="1" applyFont="1" applyFill="1"/>
    <xf numFmtId="0" fontId="3" fillId="25" borderId="0" xfId="0" applyFont="1" applyFill="1"/>
    <xf numFmtId="165" fontId="3" fillId="25" borderId="0" xfId="1" applyNumberFormat="1" applyFont="1" applyFill="1"/>
    <xf numFmtId="0" fontId="4" fillId="0" borderId="0" xfId="0" applyFont="1" applyAlignment="1">
      <alignment vertical="top"/>
    </xf>
    <xf numFmtId="0" fontId="11" fillId="13" borderId="16" xfId="0" applyFont="1" applyFill="1" applyBorder="1" applyAlignment="1">
      <alignment horizontal="center" vertical="center" wrapText="1"/>
    </xf>
    <xf numFmtId="0" fontId="0" fillId="12" borderId="19" xfId="0" applyFill="1" applyBorder="1" applyAlignment="1">
      <alignment horizontal="center"/>
    </xf>
    <xf numFmtId="169" fontId="4" fillId="12" borderId="19" xfId="0" applyNumberFormat="1" applyFont="1" applyFill="1" applyBorder="1" applyAlignment="1">
      <alignment horizontal="center"/>
    </xf>
    <xf numFmtId="0" fontId="10" fillId="12" borderId="19" xfId="0" applyFont="1" applyFill="1" applyBorder="1"/>
    <xf numFmtId="169" fontId="10" fillId="12" borderId="19" xfId="0" applyNumberFormat="1" applyFont="1" applyFill="1" applyBorder="1"/>
    <xf numFmtId="0" fontId="4" fillId="12" borderId="19" xfId="0" applyFont="1" applyFill="1" applyBorder="1" applyAlignment="1">
      <alignment horizontal="center"/>
    </xf>
    <xf numFmtId="2" fontId="4" fillId="12" borderId="19" xfId="1" applyNumberFormat="1" applyFont="1" applyFill="1" applyBorder="1" applyAlignment="1">
      <alignment horizontal="center"/>
    </xf>
    <xf numFmtId="0" fontId="10" fillId="12" borderId="19" xfId="0" applyFont="1" applyFill="1" applyBorder="1" applyAlignment="1">
      <alignment horizontal="center"/>
    </xf>
    <xf numFmtId="0" fontId="4" fillId="12" borderId="19" xfId="0" applyFont="1" applyFill="1" applyBorder="1" applyAlignment="1">
      <alignment vertical="top"/>
    </xf>
    <xf numFmtId="0" fontId="4" fillId="12" borderId="21" xfId="0" applyFont="1" applyFill="1" applyBorder="1"/>
    <xf numFmtId="0" fontId="3" fillId="0" borderId="0" xfId="0" applyFont="1"/>
    <xf numFmtId="0" fontId="11" fillId="13" borderId="16" xfId="0" applyFont="1" applyFill="1" applyBorder="1" applyAlignment="1">
      <alignment horizontal="center"/>
    </xf>
    <xf numFmtId="0" fontId="0" fillId="12" borderId="9" xfId="0" applyFill="1" applyBorder="1" applyAlignment="1">
      <alignment horizontal="center"/>
    </xf>
    <xf numFmtId="0" fontId="4" fillId="12" borderId="9" xfId="0" applyFont="1" applyFill="1" applyBorder="1" applyAlignment="1">
      <alignment horizontal="center"/>
    </xf>
    <xf numFmtId="0" fontId="0" fillId="0" borderId="14" xfId="0" applyBorder="1" applyAlignment="1">
      <alignment horizontal="center"/>
    </xf>
    <xf numFmtId="0" fontId="3" fillId="14" borderId="9" xfId="0" applyFont="1" applyFill="1" applyBorder="1" applyAlignment="1">
      <alignment horizontal="center"/>
    </xf>
    <xf numFmtId="0" fontId="11" fillId="26" borderId="17" xfId="0" applyFont="1" applyFill="1" applyBorder="1"/>
    <xf numFmtId="165" fontId="11" fillId="26" borderId="17" xfId="1" applyNumberFormat="1" applyFont="1" applyFill="1" applyBorder="1" applyAlignment="1">
      <alignment wrapText="1"/>
    </xf>
    <xf numFmtId="43" fontId="10" fillId="12" borderId="9" xfId="1" applyFont="1" applyFill="1" applyBorder="1" applyAlignment="1">
      <alignment horizontal="left" vertical="top" wrapText="1"/>
    </xf>
    <xf numFmtId="0" fontId="11" fillId="13" borderId="17" xfId="0" applyFont="1" applyFill="1" applyBorder="1" applyAlignment="1">
      <alignment horizontal="center" wrapText="1"/>
    </xf>
    <xf numFmtId="0" fontId="4" fillId="12" borderId="9" xfId="0" applyFont="1" applyFill="1" applyBorder="1" applyAlignment="1">
      <alignment horizontal="center" vertical="top"/>
    </xf>
    <xf numFmtId="0" fontId="3" fillId="0" borderId="0" xfId="0" applyFont="1" applyAlignment="1">
      <alignment horizontal="center"/>
    </xf>
    <xf numFmtId="0" fontId="19" fillId="0" borderId="0" xfId="0" applyFont="1" applyAlignment="1">
      <alignment horizontal="center"/>
    </xf>
    <xf numFmtId="43" fontId="16" fillId="0" borderId="9" xfId="4" applyNumberFormat="1" applyFill="1" applyBorder="1" applyAlignment="1">
      <alignment horizontal="left" vertical="top" wrapText="1"/>
    </xf>
    <xf numFmtId="0" fontId="24" fillId="19" borderId="0" xfId="0" applyFont="1" applyFill="1"/>
    <xf numFmtId="0" fontId="0" fillId="12" borderId="9" xfId="0" applyFill="1" applyBorder="1" applyAlignment="1">
      <alignment vertical="top"/>
    </xf>
    <xf numFmtId="0" fontId="4" fillId="12" borderId="9" xfId="0" applyFont="1" applyFill="1" applyBorder="1" applyAlignment="1">
      <alignment vertical="top"/>
    </xf>
    <xf numFmtId="0" fontId="10" fillId="12" borderId="9" xfId="0" applyFont="1" applyFill="1" applyBorder="1" applyAlignment="1">
      <alignment vertical="top"/>
    </xf>
    <xf numFmtId="0" fontId="0" fillId="12" borderId="14" xfId="0" applyFill="1" applyBorder="1" applyAlignment="1">
      <alignment vertical="top"/>
    </xf>
    <xf numFmtId="0" fontId="11" fillId="12" borderId="14" xfId="0" applyFont="1" applyFill="1" applyBorder="1" applyAlignment="1">
      <alignment vertical="top"/>
    </xf>
    <xf numFmtId="0" fontId="0" fillId="12" borderId="19" xfId="0" applyFill="1" applyBorder="1" applyAlignment="1">
      <alignment vertical="top"/>
    </xf>
    <xf numFmtId="0" fontId="19" fillId="6" borderId="0" xfId="0" applyFont="1" applyFill="1"/>
    <xf numFmtId="14" fontId="19" fillId="6" borderId="0" xfId="0" applyNumberFormat="1" applyFont="1" applyFill="1"/>
    <xf numFmtId="0" fontId="11" fillId="6" borderId="17" xfId="0" applyFont="1" applyFill="1" applyBorder="1" applyAlignment="1">
      <alignment wrapText="1"/>
    </xf>
    <xf numFmtId="0" fontId="17" fillId="12" borderId="9" xfId="0" applyFont="1" applyFill="1" applyBorder="1" applyAlignment="1">
      <alignment vertical="top"/>
    </xf>
    <xf numFmtId="0" fontId="24" fillId="19" borderId="0" xfId="0" applyFont="1" applyFill="1" applyAlignment="1">
      <alignment wrapText="1"/>
    </xf>
    <xf numFmtId="0" fontId="0" fillId="0" borderId="0" xfId="0" applyAlignment="1">
      <alignment wrapText="1"/>
    </xf>
    <xf numFmtId="0" fontId="4" fillId="12" borderId="19" xfId="0" applyFont="1" applyFill="1" applyBorder="1" applyAlignment="1">
      <alignment horizontal="left" vertical="top" wrapText="1"/>
    </xf>
    <xf numFmtId="0" fontId="4" fillId="12" borderId="9" xfId="0" applyFont="1" applyFill="1" applyBorder="1" applyAlignment="1">
      <alignment vertical="top" wrapText="1"/>
    </xf>
    <xf numFmtId="0" fontId="10" fillId="12" borderId="19" xfId="0" applyFont="1" applyFill="1" applyBorder="1" applyAlignment="1">
      <alignment vertical="top"/>
    </xf>
    <xf numFmtId="0" fontId="17" fillId="12" borderId="19" xfId="0" applyFont="1" applyFill="1" applyBorder="1" applyAlignment="1">
      <alignment vertical="top"/>
    </xf>
    <xf numFmtId="0" fontId="4" fillId="12" borderId="14" xfId="0" applyFont="1" applyFill="1" applyBorder="1" applyAlignment="1">
      <alignment horizontal="left" vertical="top"/>
    </xf>
    <xf numFmtId="165" fontId="3" fillId="12" borderId="9" xfId="1" applyNumberFormat="1" applyFont="1" applyFill="1" applyBorder="1" applyAlignment="1">
      <alignment horizontal="left" vertical="top"/>
    </xf>
    <xf numFmtId="0" fontId="0" fillId="21" borderId="17" xfId="0" applyFill="1" applyBorder="1" applyAlignment="1">
      <alignment horizontal="left" vertical="top" wrapText="1"/>
    </xf>
    <xf numFmtId="9" fontId="17" fillId="12" borderId="17" xfId="0" applyNumberFormat="1" applyFont="1" applyFill="1" applyBorder="1" applyAlignment="1">
      <alignment horizontal="left" vertical="top" wrapText="1"/>
    </xf>
    <xf numFmtId="9" fontId="17" fillId="12" borderId="9" xfId="0" applyNumberFormat="1" applyFont="1" applyFill="1" applyBorder="1" applyAlignment="1">
      <alignment horizontal="left" vertical="top" wrapText="1"/>
    </xf>
    <xf numFmtId="43" fontId="16" fillId="0" borderId="9" xfId="4" applyNumberFormat="1" applyFill="1" applyBorder="1" applyAlignment="1">
      <alignment horizontal="center" vertical="top" wrapText="1"/>
    </xf>
    <xf numFmtId="0" fontId="20" fillId="13" borderId="17" xfId="0" applyFont="1" applyFill="1" applyBorder="1" applyAlignment="1">
      <alignment horizontal="center"/>
    </xf>
    <xf numFmtId="0" fontId="31" fillId="27" borderId="9" xfId="0" applyFont="1" applyFill="1" applyBorder="1"/>
    <xf numFmtId="14" fontId="31" fillId="27" borderId="9" xfId="0" applyNumberFormat="1" applyFont="1" applyFill="1" applyBorder="1"/>
    <xf numFmtId="0" fontId="0" fillId="12" borderId="17" xfId="0" applyFill="1" applyBorder="1" applyAlignment="1" applyProtection="1">
      <alignment horizontal="left" vertical="top" wrapText="1"/>
      <protection locked="0"/>
    </xf>
    <xf numFmtId="0" fontId="0" fillId="12" borderId="9" xfId="0" applyFill="1" applyBorder="1" applyAlignment="1" applyProtection="1">
      <alignment horizontal="left" vertical="top" wrapText="1"/>
      <protection locked="0"/>
    </xf>
    <xf numFmtId="0" fontId="4" fillId="12" borderId="17" xfId="0" applyFont="1" applyFill="1" applyBorder="1" applyAlignment="1" applyProtection="1">
      <alignment horizontal="left" vertical="top" wrapText="1"/>
      <protection locked="0"/>
    </xf>
    <xf numFmtId="0" fontId="4" fillId="12" borderId="9" xfId="0" applyFont="1" applyFill="1" applyBorder="1" applyAlignment="1" applyProtection="1">
      <alignment horizontal="left" vertical="top" wrapText="1"/>
      <protection locked="0"/>
    </xf>
    <xf numFmtId="0" fontId="34" fillId="13" borderId="13" xfId="0" applyFont="1" applyFill="1" applyBorder="1" applyAlignment="1">
      <alignment wrapText="1"/>
    </xf>
    <xf numFmtId="0" fontId="4" fillId="28" borderId="9" xfId="0" applyFont="1" applyFill="1" applyBorder="1" applyAlignment="1" applyProtection="1">
      <alignment horizontal="left" vertical="top" wrapText="1"/>
      <protection locked="0"/>
    </xf>
    <xf numFmtId="0" fontId="35" fillId="0" borderId="0" xfId="0" applyFont="1"/>
    <xf numFmtId="0" fontId="11" fillId="13" borderId="13" xfId="0" applyFont="1" applyFill="1" applyBorder="1" applyAlignment="1">
      <alignment wrapText="1"/>
    </xf>
    <xf numFmtId="43" fontId="11" fillId="12" borderId="9" xfId="1" applyFont="1" applyFill="1" applyBorder="1" applyAlignment="1">
      <alignment horizontal="left" vertical="top" wrapText="1"/>
    </xf>
    <xf numFmtId="0" fontId="0" fillId="12" borderId="17" xfId="0" applyFill="1" applyBorder="1" applyAlignment="1">
      <alignment horizontal="center" vertical="top" wrapText="1"/>
    </xf>
    <xf numFmtId="0" fontId="11" fillId="13" borderId="17" xfId="0" applyFont="1" applyFill="1" applyBorder="1" applyAlignment="1">
      <alignment horizontal="center"/>
    </xf>
    <xf numFmtId="0" fontId="17" fillId="13" borderId="0" xfId="0" applyFont="1" applyFill="1" applyAlignment="1">
      <alignment wrapText="1"/>
    </xf>
    <xf numFmtId="0" fontId="33" fillId="19" borderId="23" xfId="0" applyFont="1" applyFill="1" applyBorder="1" applyAlignment="1">
      <alignment horizontal="center"/>
    </xf>
    <xf numFmtId="0" fontId="33" fillId="19" borderId="0" xfId="0" applyFont="1" applyFill="1" applyAlignment="1">
      <alignment horizontal="center"/>
    </xf>
    <xf numFmtId="0" fontId="24" fillId="19" borderId="0" xfId="0" applyFont="1" applyFill="1" applyAlignment="1">
      <alignment horizontal="center" vertical="center"/>
    </xf>
    <xf numFmtId="0" fontId="4" fillId="0" borderId="0" xfId="0" applyFont="1" applyAlignment="1">
      <alignment horizontal="left" vertical="top" wrapText="1"/>
    </xf>
    <xf numFmtId="0" fontId="0" fillId="0" borderId="0" xfId="0" applyAlignment="1">
      <alignment vertical="top"/>
    </xf>
    <xf numFmtId="0" fontId="0" fillId="0" borderId="0" xfId="0"/>
    <xf numFmtId="0" fontId="0" fillId="23" borderId="26" xfId="0" applyFill="1" applyBorder="1" applyAlignment="1">
      <alignment horizontal="center" vertical="center" wrapText="1"/>
    </xf>
    <xf numFmtId="0" fontId="0" fillId="23" borderId="0" xfId="0" applyFill="1" applyAlignment="1">
      <alignment vertical="top"/>
    </xf>
    <xf numFmtId="0" fontId="10" fillId="12" borderId="9" xfId="0" applyFont="1" applyFill="1" applyBorder="1" applyAlignment="1">
      <alignment horizontal="left" vertical="top" wrapText="1"/>
    </xf>
  </cellXfs>
  <cellStyles count="15">
    <cellStyle name="Excel Built-in Normal 2" xfId="9" xr:uid="{378990A2-3229-47EA-876C-C4559410F037}"/>
    <cellStyle name="Excel Built-in Normal_Sheet1" xfId="10" xr:uid="{A80D8D55-093E-4802-9985-9EE5620FF7CC}"/>
    <cellStyle name="Excel Built-in Style 1" xfId="11" xr:uid="{5C3235DE-D9B9-465F-8DA4-61DB26869692}"/>
    <cellStyle name="God" xfId="4" builtinId="26"/>
    <cellStyle name="Komma" xfId="1" builtinId="3"/>
    <cellStyle name="Komma 2" xfId="6" xr:uid="{145B106C-0AD1-4596-ABB2-5478E8A4F5F9}"/>
    <cellStyle name="Komma 3" xfId="14" xr:uid="{310FB39E-8E57-436A-98A8-B2DE0AD62CE6}"/>
    <cellStyle name="Neutral" xfId="3" builtinId="28"/>
    <cellStyle name="Normal" xfId="0" builtinId="0"/>
    <cellStyle name="Normal 2" xfId="8" xr:uid="{24B305A0-80FB-4034-9B81-314F07BC791B}"/>
    <cellStyle name="Normal 3" xfId="5" xr:uid="{DF3AF459-128D-4749-B688-672E7DF18933}"/>
    <cellStyle name="Normal 4" xfId="7" xr:uid="{4E1D55B2-6AC1-42FA-A70A-3A4F56B443CA}"/>
    <cellStyle name="Normal 5" xfId="13" xr:uid="{BD156D0B-AA36-4B4E-B235-966686D8031B}"/>
    <cellStyle name="Style 1" xfId="12" xr:uid="{8E8F7F62-3333-4F4A-A1BF-776590669667}"/>
    <cellStyle name="Ugyldig" xfId="2" builtinId="27"/>
  </cellStyles>
  <dxfs count="136">
    <dxf>
      <font>
        <strike val="0"/>
        <outline val="0"/>
        <shadow val="0"/>
        <u val="none"/>
        <vertAlign val="baseline"/>
        <sz val="11"/>
        <color rgb="FFFF0000"/>
        <name val="Calibri"/>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Calibri"/>
        <family val="2"/>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0" formatCode="General"/>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right style="thin">
          <color rgb="FF666666"/>
        </right>
        <top style="thin">
          <color rgb="FF666666"/>
        </top>
        <bottom style="thin">
          <color rgb="FF666666"/>
        </bottom>
        <vertical/>
        <horizontal/>
      </border>
    </dxf>
    <dxf>
      <border outline="0">
        <left style="thin">
          <color rgb="FF666666"/>
        </left>
        <right style="thin">
          <color rgb="FF666666"/>
        </right>
        <bottom style="thin">
          <color rgb="FF666666"/>
        </bottom>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indexed="64"/>
          <bgColor rgb="FF9BAFDE"/>
        </patternFill>
      </fill>
      <alignment horizontal="center" vertical="bottom" textRotation="0" wrapText="1" indent="0" justifyLastLine="0" shrinkToFit="0" readingOrder="0"/>
      <border diagonalUp="0" diagonalDown="0" outline="0">
        <left style="thin">
          <color rgb="FF666666"/>
        </left>
        <right style="thin">
          <color rgb="FF666666"/>
        </right>
        <top/>
        <bottom/>
      </border>
    </dxf>
    <dxf>
      <font>
        <b val="0"/>
        <i val="0"/>
        <strike val="0"/>
        <condense val="0"/>
        <extend val="0"/>
        <outline val="0"/>
        <shadow val="0"/>
        <u val="none"/>
        <vertAlign val="baseline"/>
        <sz val="10"/>
        <color rgb="FF000000"/>
        <name val="Helvetica"/>
        <scheme val="none"/>
      </font>
      <numFmt numFmtId="165" formatCode="_-* #,##0_-;\-* #,##0_-;_-* &quot;-&quot;??_-;_-@_-"/>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numFmt numFmtId="0" formatCode="General"/>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0" formatCode="General"/>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right style="thin">
          <color rgb="FF666666"/>
        </right>
        <top style="thin">
          <color rgb="FF666666"/>
        </top>
        <bottom style="thin">
          <color rgb="FF666666"/>
        </bottom>
        <vertical/>
        <horizontal/>
      </border>
    </dxf>
    <dxf>
      <border outline="0">
        <left style="thin">
          <color rgb="FF666666"/>
        </left>
        <right style="thin">
          <color rgb="FF666666"/>
        </right>
        <bottom style="thin">
          <color rgb="FF666666"/>
        </bottom>
      </border>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indexed="64"/>
          <bgColor rgb="FF9BAFDE"/>
        </patternFill>
      </fill>
      <alignment horizontal="center" vertical="bottom" textRotation="0" wrapText="1" indent="0" justifyLastLine="0" shrinkToFit="0" readingOrder="0"/>
      <border diagonalUp="0" diagonalDown="0" outline="0">
        <left style="thin">
          <color rgb="FF666666"/>
        </left>
        <right style="thin">
          <color rgb="FF666666"/>
        </right>
        <top/>
        <bottom/>
      </border>
    </dxf>
    <dxf>
      <fill>
        <patternFill patternType="solid">
          <fgColor indexed="64"/>
          <bgColor theme="0" tint="-4.9989318521683403E-2"/>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vertical/>
        <horizontal/>
      </border>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dxf>
    <dxf>
      <border>
        <bottom style="thin">
          <color indexed="64"/>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5" formatCode="_-* #,##0.00_-;\-* #,##0.00_-;_-*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5" formatCode="_-* #,##0.00_-;\-* #,##0.00_-;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_-* #,##0.000_-;\-* #,##0.000_-;_-* &quot;-&quot;??_-;_-@_-"/>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alignment horizontal="center" textRotation="0" indent="0" justifyLastLine="0" shrinkToFit="0" readingOrder="0"/>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dxf>
    <dxf>
      <border>
        <bottom style="thin">
          <color indexed="64"/>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rgb="FF000000"/>
          <bgColor rgb="FFF2F2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35" formatCode="_-* #,##0.00_-;\-* #,##0.00_-;_-*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35" formatCode="_-* #,##0.00_-;\-* #,##0.00_-;_-* &quot;-&quot;??_-;_-@_-"/>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1"/>
        <color theme="1"/>
        <name val="Calibri"/>
        <scheme val="none"/>
      </font>
      <numFmt numFmtId="13" formatCode="0%"/>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_-* #,##0.000_-;\-* #,##0.000_-;_-* &quot;-&quot;??_-;_-@_-"/>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F2F2F2"/>
        </patternFill>
      </fill>
    </dxf>
    <dxf>
      <border>
        <bottom style="thin">
          <color rgb="FF000000"/>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30482</xdr:colOff>
      <xdr:row>5</xdr:row>
      <xdr:rowOff>30481</xdr:rowOff>
    </xdr:from>
    <xdr:to>
      <xdr:col>1</xdr:col>
      <xdr:colOff>676276</xdr:colOff>
      <xdr:row>5</xdr:row>
      <xdr:rowOff>1123950</xdr:rowOff>
    </xdr:to>
    <xdr:pic>
      <xdr:nvPicPr>
        <xdr:cNvPr id="2" name="Billede 1">
          <a:extLst>
            <a:ext uri="{FF2B5EF4-FFF2-40B4-BE49-F238E27FC236}">
              <a16:creationId xmlns:a16="http://schemas.microsoft.com/office/drawing/2014/main" id="{F91F8157-C6AC-4393-BC0B-5796173080C3}"/>
            </a:ext>
          </a:extLst>
        </xdr:cNvPr>
        <xdr:cNvPicPr>
          <a:picLocks noChangeAspect="1"/>
        </xdr:cNvPicPr>
      </xdr:nvPicPr>
      <xdr:blipFill>
        <a:blip xmlns:r="http://schemas.openxmlformats.org/officeDocument/2006/relationships" r:embed="rId1"/>
        <a:stretch>
          <a:fillRect/>
        </a:stretch>
      </xdr:blipFill>
      <xdr:spPr>
        <a:xfrm>
          <a:off x="2021207" y="2268856"/>
          <a:ext cx="645794" cy="1093469"/>
        </a:xfrm>
        <a:prstGeom prst="rect">
          <a:avLst/>
        </a:prstGeom>
      </xdr:spPr>
    </xdr:pic>
    <xdr:clientData/>
  </xdr:twoCellAnchor>
  <xdr:oneCellAnchor>
    <xdr:from>
      <xdr:col>1</xdr:col>
      <xdr:colOff>53341</xdr:colOff>
      <xdr:row>7</xdr:row>
      <xdr:rowOff>167242</xdr:rowOff>
    </xdr:from>
    <xdr:ext cx="472439" cy="854024"/>
    <xdr:pic>
      <xdr:nvPicPr>
        <xdr:cNvPr id="3" name="Billede 2">
          <a:extLst>
            <a:ext uri="{FF2B5EF4-FFF2-40B4-BE49-F238E27FC236}">
              <a16:creationId xmlns:a16="http://schemas.microsoft.com/office/drawing/2014/main" id="{3D39BFAE-5FF6-4B70-94FF-673A817E076F}"/>
            </a:ext>
          </a:extLst>
        </xdr:cNvPr>
        <xdr:cNvPicPr>
          <a:picLocks noChangeAspect="1"/>
        </xdr:cNvPicPr>
      </xdr:nvPicPr>
      <xdr:blipFill>
        <a:blip xmlns:r="http://schemas.openxmlformats.org/officeDocument/2006/relationships" r:embed="rId2"/>
        <a:stretch>
          <a:fillRect/>
        </a:stretch>
      </xdr:blipFill>
      <xdr:spPr>
        <a:xfrm>
          <a:off x="6358891" y="4501117"/>
          <a:ext cx="472439" cy="854024"/>
        </a:xfrm>
        <a:prstGeom prst="rect">
          <a:avLst/>
        </a:prstGeom>
      </xdr:spPr>
    </xdr:pic>
    <xdr:clientData/>
  </xdr:oneCellAnchor>
  <xdr:oneCellAnchor>
    <xdr:from>
      <xdr:col>1</xdr:col>
      <xdr:colOff>53341</xdr:colOff>
      <xdr:row>8</xdr:row>
      <xdr:rowOff>167242</xdr:rowOff>
    </xdr:from>
    <xdr:ext cx="472439" cy="854024"/>
    <xdr:pic>
      <xdr:nvPicPr>
        <xdr:cNvPr id="4" name="Billede 3">
          <a:extLst>
            <a:ext uri="{FF2B5EF4-FFF2-40B4-BE49-F238E27FC236}">
              <a16:creationId xmlns:a16="http://schemas.microsoft.com/office/drawing/2014/main" id="{14275C8E-650B-4040-8A82-22FC5E55F3D6}"/>
            </a:ext>
          </a:extLst>
        </xdr:cNvPr>
        <xdr:cNvPicPr>
          <a:picLocks noChangeAspect="1"/>
        </xdr:cNvPicPr>
      </xdr:nvPicPr>
      <xdr:blipFill>
        <a:blip xmlns:r="http://schemas.openxmlformats.org/officeDocument/2006/relationships" r:embed="rId2"/>
        <a:stretch>
          <a:fillRect/>
        </a:stretch>
      </xdr:blipFill>
      <xdr:spPr>
        <a:xfrm>
          <a:off x="6358891" y="5644117"/>
          <a:ext cx="472439" cy="854024"/>
        </a:xfrm>
        <a:prstGeom prst="rect">
          <a:avLst/>
        </a:prstGeom>
      </xdr:spPr>
    </xdr:pic>
    <xdr:clientData/>
  </xdr:oneCellAnchor>
  <xdr:oneCellAnchor>
    <xdr:from>
      <xdr:col>1</xdr:col>
      <xdr:colOff>76202</xdr:colOff>
      <xdr:row>9</xdr:row>
      <xdr:rowOff>152400</xdr:rowOff>
    </xdr:from>
    <xdr:ext cx="417420" cy="754566"/>
    <xdr:pic>
      <xdr:nvPicPr>
        <xdr:cNvPr id="5" name="Billede 4">
          <a:extLst>
            <a:ext uri="{FF2B5EF4-FFF2-40B4-BE49-F238E27FC236}">
              <a16:creationId xmlns:a16="http://schemas.microsoft.com/office/drawing/2014/main" id="{6953F5FE-C277-48B7-AC0F-DDDF9BD83378}"/>
            </a:ext>
          </a:extLst>
        </xdr:cNvPr>
        <xdr:cNvPicPr>
          <a:picLocks noChangeAspect="1"/>
        </xdr:cNvPicPr>
      </xdr:nvPicPr>
      <xdr:blipFill>
        <a:blip xmlns:r="http://schemas.openxmlformats.org/officeDocument/2006/relationships" r:embed="rId2"/>
        <a:stretch>
          <a:fillRect/>
        </a:stretch>
      </xdr:blipFill>
      <xdr:spPr>
        <a:xfrm>
          <a:off x="6381752" y="6772275"/>
          <a:ext cx="417420" cy="754566"/>
        </a:xfrm>
        <a:prstGeom prst="rect">
          <a:avLst/>
        </a:prstGeom>
      </xdr:spPr>
    </xdr:pic>
    <xdr:clientData/>
  </xdr:oneCellAnchor>
  <xdr:oneCellAnchor>
    <xdr:from>
      <xdr:col>1</xdr:col>
      <xdr:colOff>38101</xdr:colOff>
      <xdr:row>11</xdr:row>
      <xdr:rowOff>167242</xdr:rowOff>
    </xdr:from>
    <xdr:ext cx="472439" cy="854024"/>
    <xdr:pic>
      <xdr:nvPicPr>
        <xdr:cNvPr id="6" name="Billede 5">
          <a:extLst>
            <a:ext uri="{FF2B5EF4-FFF2-40B4-BE49-F238E27FC236}">
              <a16:creationId xmlns:a16="http://schemas.microsoft.com/office/drawing/2014/main" id="{F13A623E-471A-4789-99F2-C3B0CFEB99BC}"/>
            </a:ext>
          </a:extLst>
        </xdr:cNvPr>
        <xdr:cNvPicPr>
          <a:picLocks noChangeAspect="1"/>
        </xdr:cNvPicPr>
      </xdr:nvPicPr>
      <xdr:blipFill>
        <a:blip xmlns:r="http://schemas.openxmlformats.org/officeDocument/2006/relationships" r:embed="rId2"/>
        <a:stretch>
          <a:fillRect/>
        </a:stretch>
      </xdr:blipFill>
      <xdr:spPr>
        <a:xfrm>
          <a:off x="6343651" y="9073117"/>
          <a:ext cx="472439" cy="854024"/>
        </a:xfrm>
        <a:prstGeom prst="rect">
          <a:avLst/>
        </a:prstGeom>
      </xdr:spPr>
    </xdr:pic>
    <xdr:clientData/>
  </xdr:oneCellAnchor>
  <xdr:oneCellAnchor>
    <xdr:from>
      <xdr:col>1</xdr:col>
      <xdr:colOff>38101</xdr:colOff>
      <xdr:row>12</xdr:row>
      <xdr:rowOff>167242</xdr:rowOff>
    </xdr:from>
    <xdr:ext cx="472439" cy="854024"/>
    <xdr:pic>
      <xdr:nvPicPr>
        <xdr:cNvPr id="7" name="Billede 6">
          <a:extLst>
            <a:ext uri="{FF2B5EF4-FFF2-40B4-BE49-F238E27FC236}">
              <a16:creationId xmlns:a16="http://schemas.microsoft.com/office/drawing/2014/main" id="{9E18B0A2-7968-4262-93F5-A298962955F2}"/>
            </a:ext>
          </a:extLst>
        </xdr:cNvPr>
        <xdr:cNvPicPr>
          <a:picLocks noChangeAspect="1"/>
        </xdr:cNvPicPr>
      </xdr:nvPicPr>
      <xdr:blipFill>
        <a:blip xmlns:r="http://schemas.openxmlformats.org/officeDocument/2006/relationships" r:embed="rId2"/>
        <a:stretch>
          <a:fillRect/>
        </a:stretch>
      </xdr:blipFill>
      <xdr:spPr>
        <a:xfrm>
          <a:off x="6343651" y="10216117"/>
          <a:ext cx="472439" cy="854024"/>
        </a:xfrm>
        <a:prstGeom prst="rect">
          <a:avLst/>
        </a:prstGeom>
      </xdr:spPr>
    </xdr:pic>
    <xdr:clientData/>
  </xdr:oneCellAnchor>
  <xdr:oneCellAnchor>
    <xdr:from>
      <xdr:col>1</xdr:col>
      <xdr:colOff>38101</xdr:colOff>
      <xdr:row>13</xdr:row>
      <xdr:rowOff>167242</xdr:rowOff>
    </xdr:from>
    <xdr:ext cx="472439" cy="854024"/>
    <xdr:pic>
      <xdr:nvPicPr>
        <xdr:cNvPr id="8" name="Billede 7">
          <a:extLst>
            <a:ext uri="{FF2B5EF4-FFF2-40B4-BE49-F238E27FC236}">
              <a16:creationId xmlns:a16="http://schemas.microsoft.com/office/drawing/2014/main" id="{A45FE989-5F99-4E10-A122-67A1A9C4612F}"/>
            </a:ext>
          </a:extLst>
        </xdr:cNvPr>
        <xdr:cNvPicPr>
          <a:picLocks noChangeAspect="1"/>
        </xdr:cNvPicPr>
      </xdr:nvPicPr>
      <xdr:blipFill>
        <a:blip xmlns:r="http://schemas.openxmlformats.org/officeDocument/2006/relationships" r:embed="rId2"/>
        <a:stretch>
          <a:fillRect/>
        </a:stretch>
      </xdr:blipFill>
      <xdr:spPr>
        <a:xfrm>
          <a:off x="6343651" y="11359117"/>
          <a:ext cx="472439" cy="854024"/>
        </a:xfrm>
        <a:prstGeom prst="rect">
          <a:avLst/>
        </a:prstGeom>
      </xdr:spPr>
    </xdr:pic>
    <xdr:clientData/>
  </xdr:oneCellAnchor>
  <xdr:twoCellAnchor editAs="oneCell">
    <xdr:from>
      <xdr:col>1</xdr:col>
      <xdr:colOff>47625</xdr:colOff>
      <xdr:row>10</xdr:row>
      <xdr:rowOff>280116</xdr:rowOff>
    </xdr:from>
    <xdr:to>
      <xdr:col>1</xdr:col>
      <xdr:colOff>1114424</xdr:colOff>
      <xdr:row>10</xdr:row>
      <xdr:rowOff>1266826</xdr:rowOff>
    </xdr:to>
    <xdr:pic>
      <xdr:nvPicPr>
        <xdr:cNvPr id="9" name="Billede 8">
          <a:extLst>
            <a:ext uri="{FF2B5EF4-FFF2-40B4-BE49-F238E27FC236}">
              <a16:creationId xmlns:a16="http://schemas.microsoft.com/office/drawing/2014/main" id="{5BB816AB-31BA-49C8-80B0-148C7DFF002E}"/>
            </a:ext>
          </a:extLst>
        </xdr:cNvPr>
        <xdr:cNvPicPr>
          <a:picLocks noChangeAspect="1"/>
        </xdr:cNvPicPr>
      </xdr:nvPicPr>
      <xdr:blipFill>
        <a:blip xmlns:r="http://schemas.openxmlformats.org/officeDocument/2006/relationships" r:embed="rId3"/>
        <a:stretch>
          <a:fillRect/>
        </a:stretch>
      </xdr:blipFill>
      <xdr:spPr>
        <a:xfrm>
          <a:off x="2038350" y="8042991"/>
          <a:ext cx="1066799" cy="986710"/>
        </a:xfrm>
        <a:prstGeom prst="rect">
          <a:avLst/>
        </a:prstGeom>
      </xdr:spPr>
    </xdr:pic>
    <xdr:clientData/>
  </xdr:twoCellAnchor>
  <xdr:twoCellAnchor editAs="oneCell">
    <xdr:from>
      <xdr:col>1</xdr:col>
      <xdr:colOff>68580</xdr:colOff>
      <xdr:row>15</xdr:row>
      <xdr:rowOff>297181</xdr:rowOff>
    </xdr:from>
    <xdr:to>
      <xdr:col>1</xdr:col>
      <xdr:colOff>817868</xdr:colOff>
      <xdr:row>15</xdr:row>
      <xdr:rowOff>1047750</xdr:rowOff>
    </xdr:to>
    <xdr:pic>
      <xdr:nvPicPr>
        <xdr:cNvPr id="10" name="Billede 9">
          <a:extLst>
            <a:ext uri="{FF2B5EF4-FFF2-40B4-BE49-F238E27FC236}">
              <a16:creationId xmlns:a16="http://schemas.microsoft.com/office/drawing/2014/main" id="{4691CC4B-E494-42A0-BC4D-B2BE066D5B99}"/>
            </a:ext>
          </a:extLst>
        </xdr:cNvPr>
        <xdr:cNvPicPr>
          <a:picLocks noChangeAspect="1"/>
        </xdr:cNvPicPr>
      </xdr:nvPicPr>
      <xdr:blipFill>
        <a:blip xmlns:r="http://schemas.openxmlformats.org/officeDocument/2006/relationships" r:embed="rId4"/>
        <a:stretch>
          <a:fillRect/>
        </a:stretch>
      </xdr:blipFill>
      <xdr:spPr>
        <a:xfrm>
          <a:off x="2059305" y="13965556"/>
          <a:ext cx="749288" cy="750569"/>
        </a:xfrm>
        <a:prstGeom prst="rect">
          <a:avLst/>
        </a:prstGeom>
      </xdr:spPr>
    </xdr:pic>
    <xdr:clientData/>
  </xdr:twoCellAnchor>
  <xdr:oneCellAnchor>
    <xdr:from>
      <xdr:col>1</xdr:col>
      <xdr:colOff>68580</xdr:colOff>
      <xdr:row>16</xdr:row>
      <xdr:rowOff>297181</xdr:rowOff>
    </xdr:from>
    <xdr:ext cx="749288" cy="716280"/>
    <xdr:pic>
      <xdr:nvPicPr>
        <xdr:cNvPr id="11" name="Billede 10">
          <a:extLst>
            <a:ext uri="{FF2B5EF4-FFF2-40B4-BE49-F238E27FC236}">
              <a16:creationId xmlns:a16="http://schemas.microsoft.com/office/drawing/2014/main" id="{EF9DDFC9-343D-4791-AAD3-3EABE15F45D6}"/>
            </a:ext>
          </a:extLst>
        </xdr:cNvPr>
        <xdr:cNvPicPr>
          <a:picLocks noChangeAspect="1"/>
        </xdr:cNvPicPr>
      </xdr:nvPicPr>
      <xdr:blipFill>
        <a:blip xmlns:r="http://schemas.openxmlformats.org/officeDocument/2006/relationships" r:embed="rId4"/>
        <a:stretch>
          <a:fillRect/>
        </a:stretch>
      </xdr:blipFill>
      <xdr:spPr>
        <a:xfrm>
          <a:off x="6374130" y="14918056"/>
          <a:ext cx="749288" cy="716280"/>
        </a:xfrm>
        <a:prstGeom prst="rect">
          <a:avLst/>
        </a:prstGeom>
      </xdr:spPr>
    </xdr:pic>
    <xdr:clientData/>
  </xdr:oneCellAnchor>
  <xdr:oneCellAnchor>
    <xdr:from>
      <xdr:col>1</xdr:col>
      <xdr:colOff>68580</xdr:colOff>
      <xdr:row>17</xdr:row>
      <xdr:rowOff>297181</xdr:rowOff>
    </xdr:from>
    <xdr:ext cx="749288" cy="716280"/>
    <xdr:pic>
      <xdr:nvPicPr>
        <xdr:cNvPr id="12" name="Billede 11">
          <a:extLst>
            <a:ext uri="{FF2B5EF4-FFF2-40B4-BE49-F238E27FC236}">
              <a16:creationId xmlns:a16="http://schemas.microsoft.com/office/drawing/2014/main" id="{2A850081-C22A-4003-BF3C-4FE8E99EE9D5}"/>
            </a:ext>
          </a:extLst>
        </xdr:cNvPr>
        <xdr:cNvPicPr>
          <a:picLocks noChangeAspect="1"/>
        </xdr:cNvPicPr>
      </xdr:nvPicPr>
      <xdr:blipFill>
        <a:blip xmlns:r="http://schemas.openxmlformats.org/officeDocument/2006/relationships" r:embed="rId4"/>
        <a:stretch>
          <a:fillRect/>
        </a:stretch>
      </xdr:blipFill>
      <xdr:spPr>
        <a:xfrm>
          <a:off x="6374130" y="16061056"/>
          <a:ext cx="749288" cy="716280"/>
        </a:xfrm>
        <a:prstGeom prst="rect">
          <a:avLst/>
        </a:prstGeom>
      </xdr:spPr>
    </xdr:pic>
    <xdr:clientData/>
  </xdr:oneCellAnchor>
  <xdr:oneCellAnchor>
    <xdr:from>
      <xdr:col>1</xdr:col>
      <xdr:colOff>1</xdr:colOff>
      <xdr:row>14</xdr:row>
      <xdr:rowOff>280114</xdr:rowOff>
    </xdr:from>
    <xdr:ext cx="861060" cy="809807"/>
    <xdr:pic>
      <xdr:nvPicPr>
        <xdr:cNvPr id="13" name="Billede 12">
          <a:extLst>
            <a:ext uri="{FF2B5EF4-FFF2-40B4-BE49-F238E27FC236}">
              <a16:creationId xmlns:a16="http://schemas.microsoft.com/office/drawing/2014/main" id="{4020ED63-22BE-4933-805E-8E0D3B60FDFA}"/>
            </a:ext>
          </a:extLst>
        </xdr:cNvPr>
        <xdr:cNvPicPr>
          <a:picLocks noChangeAspect="1"/>
        </xdr:cNvPicPr>
      </xdr:nvPicPr>
      <xdr:blipFill>
        <a:blip xmlns:r="http://schemas.openxmlformats.org/officeDocument/2006/relationships" r:embed="rId3"/>
        <a:stretch>
          <a:fillRect/>
        </a:stretch>
      </xdr:blipFill>
      <xdr:spPr>
        <a:xfrm>
          <a:off x="6305551" y="12614989"/>
          <a:ext cx="861060" cy="809807"/>
        </a:xfrm>
        <a:prstGeom prst="rect">
          <a:avLst/>
        </a:prstGeom>
      </xdr:spPr>
    </xdr:pic>
    <xdr:clientData/>
  </xdr:oneCellAnchor>
  <xdr:twoCellAnchor editAs="oneCell">
    <xdr:from>
      <xdr:col>1</xdr:col>
      <xdr:colOff>45720</xdr:colOff>
      <xdr:row>18</xdr:row>
      <xdr:rowOff>186117</xdr:rowOff>
    </xdr:from>
    <xdr:to>
      <xdr:col>1</xdr:col>
      <xdr:colOff>1034100</xdr:colOff>
      <xdr:row>18</xdr:row>
      <xdr:rowOff>1266825</xdr:rowOff>
    </xdr:to>
    <xdr:pic>
      <xdr:nvPicPr>
        <xdr:cNvPr id="14" name="Billede 13">
          <a:extLst>
            <a:ext uri="{FF2B5EF4-FFF2-40B4-BE49-F238E27FC236}">
              <a16:creationId xmlns:a16="http://schemas.microsoft.com/office/drawing/2014/main" id="{FF827020-D937-4070-8D71-FBB484D1A0A1}"/>
            </a:ext>
          </a:extLst>
        </xdr:cNvPr>
        <xdr:cNvPicPr>
          <a:picLocks noChangeAspect="1"/>
        </xdr:cNvPicPr>
      </xdr:nvPicPr>
      <xdr:blipFill>
        <a:blip xmlns:r="http://schemas.openxmlformats.org/officeDocument/2006/relationships" r:embed="rId5"/>
        <a:stretch>
          <a:fillRect/>
        </a:stretch>
      </xdr:blipFill>
      <xdr:spPr>
        <a:xfrm>
          <a:off x="2036445" y="17969292"/>
          <a:ext cx="988380" cy="1080708"/>
        </a:xfrm>
        <a:prstGeom prst="rect">
          <a:avLst/>
        </a:prstGeom>
      </xdr:spPr>
    </xdr:pic>
    <xdr:clientData/>
  </xdr:twoCellAnchor>
  <xdr:twoCellAnchor editAs="oneCell">
    <xdr:from>
      <xdr:col>1</xdr:col>
      <xdr:colOff>43815</xdr:colOff>
      <xdr:row>19</xdr:row>
      <xdr:rowOff>232411</xdr:rowOff>
    </xdr:from>
    <xdr:to>
      <xdr:col>1</xdr:col>
      <xdr:colOff>779520</xdr:colOff>
      <xdr:row>19</xdr:row>
      <xdr:rowOff>1238250</xdr:rowOff>
    </xdr:to>
    <xdr:pic>
      <xdr:nvPicPr>
        <xdr:cNvPr id="15" name="Billede 14">
          <a:extLst>
            <a:ext uri="{FF2B5EF4-FFF2-40B4-BE49-F238E27FC236}">
              <a16:creationId xmlns:a16="http://schemas.microsoft.com/office/drawing/2014/main" id="{395E6902-DED6-4F13-91AB-AEFE51D44E85}"/>
            </a:ext>
          </a:extLst>
        </xdr:cNvPr>
        <xdr:cNvPicPr>
          <a:picLocks noChangeAspect="1"/>
        </xdr:cNvPicPr>
      </xdr:nvPicPr>
      <xdr:blipFill>
        <a:blip xmlns:r="http://schemas.openxmlformats.org/officeDocument/2006/relationships" r:embed="rId6"/>
        <a:stretch>
          <a:fillRect/>
        </a:stretch>
      </xdr:blipFill>
      <xdr:spPr>
        <a:xfrm>
          <a:off x="2034540" y="18853786"/>
          <a:ext cx="735705" cy="1005839"/>
        </a:xfrm>
        <a:prstGeom prst="rect">
          <a:avLst/>
        </a:prstGeom>
      </xdr:spPr>
    </xdr:pic>
    <xdr:clientData/>
  </xdr:twoCellAnchor>
  <xdr:oneCellAnchor>
    <xdr:from>
      <xdr:col>1</xdr:col>
      <xdr:colOff>45720</xdr:colOff>
      <xdr:row>23</xdr:row>
      <xdr:rowOff>186117</xdr:rowOff>
    </xdr:from>
    <xdr:ext cx="1127760" cy="1002810"/>
    <xdr:pic>
      <xdr:nvPicPr>
        <xdr:cNvPr id="16" name="Billede 15">
          <a:extLst>
            <a:ext uri="{FF2B5EF4-FFF2-40B4-BE49-F238E27FC236}">
              <a16:creationId xmlns:a16="http://schemas.microsoft.com/office/drawing/2014/main" id="{BA297C07-C228-4F74-AFDE-A5735C1EE296}"/>
            </a:ext>
          </a:extLst>
        </xdr:cNvPr>
        <xdr:cNvPicPr>
          <a:picLocks noChangeAspect="1"/>
        </xdr:cNvPicPr>
      </xdr:nvPicPr>
      <xdr:blipFill>
        <a:blip xmlns:r="http://schemas.openxmlformats.org/officeDocument/2006/relationships" r:embed="rId5"/>
        <a:stretch>
          <a:fillRect/>
        </a:stretch>
      </xdr:blipFill>
      <xdr:spPr>
        <a:xfrm>
          <a:off x="6351270" y="23569992"/>
          <a:ext cx="1127760" cy="1002810"/>
        </a:xfrm>
        <a:prstGeom prst="rect">
          <a:avLst/>
        </a:prstGeom>
      </xdr:spPr>
    </xdr:pic>
    <xdr:clientData/>
  </xdr:oneCellAnchor>
  <xdr:oneCellAnchor>
    <xdr:from>
      <xdr:col>1</xdr:col>
      <xdr:colOff>53341</xdr:colOff>
      <xdr:row>6</xdr:row>
      <xdr:rowOff>167242</xdr:rowOff>
    </xdr:from>
    <xdr:ext cx="472439" cy="854024"/>
    <xdr:pic>
      <xdr:nvPicPr>
        <xdr:cNvPr id="17" name="Billede 16">
          <a:extLst>
            <a:ext uri="{FF2B5EF4-FFF2-40B4-BE49-F238E27FC236}">
              <a16:creationId xmlns:a16="http://schemas.microsoft.com/office/drawing/2014/main" id="{DF75D846-78E8-4D7D-A098-8E3212E28BC8}"/>
            </a:ext>
          </a:extLst>
        </xdr:cNvPr>
        <xdr:cNvPicPr>
          <a:picLocks noChangeAspect="1"/>
        </xdr:cNvPicPr>
      </xdr:nvPicPr>
      <xdr:blipFill>
        <a:blip xmlns:r="http://schemas.openxmlformats.org/officeDocument/2006/relationships" r:embed="rId2"/>
        <a:stretch>
          <a:fillRect/>
        </a:stretch>
      </xdr:blipFill>
      <xdr:spPr>
        <a:xfrm>
          <a:off x="6358891" y="3358117"/>
          <a:ext cx="472439" cy="854024"/>
        </a:xfrm>
        <a:prstGeom prst="rect">
          <a:avLst/>
        </a:prstGeom>
      </xdr:spPr>
    </xdr:pic>
    <xdr:clientData/>
  </xdr:oneCellAnchor>
  <xdr:oneCellAnchor>
    <xdr:from>
      <xdr:col>1</xdr:col>
      <xdr:colOff>38101</xdr:colOff>
      <xdr:row>7</xdr:row>
      <xdr:rowOff>167242</xdr:rowOff>
    </xdr:from>
    <xdr:ext cx="472439" cy="854024"/>
    <xdr:pic>
      <xdr:nvPicPr>
        <xdr:cNvPr id="18" name="Billede 17">
          <a:extLst>
            <a:ext uri="{FF2B5EF4-FFF2-40B4-BE49-F238E27FC236}">
              <a16:creationId xmlns:a16="http://schemas.microsoft.com/office/drawing/2014/main" id="{3C4A7BAB-E673-42D1-A351-7DF365E04D03}"/>
            </a:ext>
          </a:extLst>
        </xdr:cNvPr>
        <xdr:cNvPicPr>
          <a:picLocks noChangeAspect="1"/>
        </xdr:cNvPicPr>
      </xdr:nvPicPr>
      <xdr:blipFill>
        <a:blip xmlns:r="http://schemas.openxmlformats.org/officeDocument/2006/relationships" r:embed="rId2"/>
        <a:stretch>
          <a:fillRect/>
        </a:stretch>
      </xdr:blipFill>
      <xdr:spPr>
        <a:xfrm>
          <a:off x="6343651" y="4501117"/>
          <a:ext cx="472439" cy="854024"/>
        </a:xfrm>
        <a:prstGeom prst="rect">
          <a:avLst/>
        </a:prstGeom>
      </xdr:spPr>
    </xdr:pic>
    <xdr:clientData/>
  </xdr:oneCellAnchor>
  <xdr:oneCellAnchor>
    <xdr:from>
      <xdr:col>1</xdr:col>
      <xdr:colOff>53341</xdr:colOff>
      <xdr:row>7</xdr:row>
      <xdr:rowOff>167242</xdr:rowOff>
    </xdr:from>
    <xdr:ext cx="472439" cy="854024"/>
    <xdr:pic>
      <xdr:nvPicPr>
        <xdr:cNvPr id="19" name="Billede 18">
          <a:extLst>
            <a:ext uri="{FF2B5EF4-FFF2-40B4-BE49-F238E27FC236}">
              <a16:creationId xmlns:a16="http://schemas.microsoft.com/office/drawing/2014/main" id="{C2A0582A-2C3A-4452-94E2-E1EFEAA5DABB}"/>
            </a:ext>
          </a:extLst>
        </xdr:cNvPr>
        <xdr:cNvPicPr>
          <a:picLocks noChangeAspect="1"/>
        </xdr:cNvPicPr>
      </xdr:nvPicPr>
      <xdr:blipFill>
        <a:blip xmlns:r="http://schemas.openxmlformats.org/officeDocument/2006/relationships" r:embed="rId2"/>
        <a:stretch>
          <a:fillRect/>
        </a:stretch>
      </xdr:blipFill>
      <xdr:spPr>
        <a:xfrm>
          <a:off x="6358891" y="4501117"/>
          <a:ext cx="472439" cy="854024"/>
        </a:xfrm>
        <a:prstGeom prst="rect">
          <a:avLst/>
        </a:prstGeom>
      </xdr:spPr>
    </xdr:pic>
    <xdr:clientData/>
  </xdr:oneCellAnchor>
  <xdr:oneCellAnchor>
    <xdr:from>
      <xdr:col>1</xdr:col>
      <xdr:colOff>38101</xdr:colOff>
      <xdr:row>8</xdr:row>
      <xdr:rowOff>167242</xdr:rowOff>
    </xdr:from>
    <xdr:ext cx="472439" cy="854024"/>
    <xdr:pic>
      <xdr:nvPicPr>
        <xdr:cNvPr id="20" name="Billede 19">
          <a:extLst>
            <a:ext uri="{FF2B5EF4-FFF2-40B4-BE49-F238E27FC236}">
              <a16:creationId xmlns:a16="http://schemas.microsoft.com/office/drawing/2014/main" id="{4D4CBFA0-C883-4ACF-8CD9-218264EB4154}"/>
            </a:ext>
          </a:extLst>
        </xdr:cNvPr>
        <xdr:cNvPicPr>
          <a:picLocks noChangeAspect="1"/>
        </xdr:cNvPicPr>
      </xdr:nvPicPr>
      <xdr:blipFill>
        <a:blip xmlns:r="http://schemas.openxmlformats.org/officeDocument/2006/relationships" r:embed="rId2"/>
        <a:stretch>
          <a:fillRect/>
        </a:stretch>
      </xdr:blipFill>
      <xdr:spPr>
        <a:xfrm>
          <a:off x="6343651" y="5644117"/>
          <a:ext cx="472439" cy="854024"/>
        </a:xfrm>
        <a:prstGeom prst="rect">
          <a:avLst/>
        </a:prstGeom>
      </xdr:spPr>
    </xdr:pic>
    <xdr:clientData/>
  </xdr:oneCellAnchor>
  <xdr:oneCellAnchor>
    <xdr:from>
      <xdr:col>1</xdr:col>
      <xdr:colOff>53341</xdr:colOff>
      <xdr:row>8</xdr:row>
      <xdr:rowOff>167242</xdr:rowOff>
    </xdr:from>
    <xdr:ext cx="472439" cy="854024"/>
    <xdr:pic>
      <xdr:nvPicPr>
        <xdr:cNvPr id="21" name="Billede 20">
          <a:extLst>
            <a:ext uri="{FF2B5EF4-FFF2-40B4-BE49-F238E27FC236}">
              <a16:creationId xmlns:a16="http://schemas.microsoft.com/office/drawing/2014/main" id="{A41D79BF-3F86-4E77-B699-E332285E70D5}"/>
            </a:ext>
          </a:extLst>
        </xdr:cNvPr>
        <xdr:cNvPicPr>
          <a:picLocks noChangeAspect="1"/>
        </xdr:cNvPicPr>
      </xdr:nvPicPr>
      <xdr:blipFill>
        <a:blip xmlns:r="http://schemas.openxmlformats.org/officeDocument/2006/relationships" r:embed="rId2"/>
        <a:stretch>
          <a:fillRect/>
        </a:stretch>
      </xdr:blipFill>
      <xdr:spPr>
        <a:xfrm>
          <a:off x="6358891" y="5644117"/>
          <a:ext cx="472439" cy="854024"/>
        </a:xfrm>
        <a:prstGeom prst="rect">
          <a:avLst/>
        </a:prstGeom>
      </xdr:spPr>
    </xdr:pic>
    <xdr:clientData/>
  </xdr:oneCellAnchor>
  <xdr:oneCellAnchor>
    <xdr:from>
      <xdr:col>1</xdr:col>
      <xdr:colOff>43815</xdr:colOff>
      <xdr:row>22</xdr:row>
      <xdr:rowOff>232411</xdr:rowOff>
    </xdr:from>
    <xdr:ext cx="735705" cy="1062990"/>
    <xdr:pic>
      <xdr:nvPicPr>
        <xdr:cNvPr id="22" name="Billede 21">
          <a:extLst>
            <a:ext uri="{FF2B5EF4-FFF2-40B4-BE49-F238E27FC236}">
              <a16:creationId xmlns:a16="http://schemas.microsoft.com/office/drawing/2014/main" id="{325E8A17-E946-444E-88B5-685C120D3991}"/>
            </a:ext>
          </a:extLst>
        </xdr:cNvPr>
        <xdr:cNvPicPr>
          <a:picLocks noChangeAspect="1"/>
        </xdr:cNvPicPr>
      </xdr:nvPicPr>
      <xdr:blipFill>
        <a:blip xmlns:r="http://schemas.openxmlformats.org/officeDocument/2006/relationships" r:embed="rId6"/>
        <a:stretch>
          <a:fillRect/>
        </a:stretch>
      </xdr:blipFill>
      <xdr:spPr>
        <a:xfrm>
          <a:off x="6349365" y="22282786"/>
          <a:ext cx="735705" cy="1062990"/>
        </a:xfrm>
        <a:prstGeom prst="rect">
          <a:avLst/>
        </a:prstGeom>
      </xdr:spPr>
    </xdr:pic>
    <xdr:clientData/>
  </xdr:oneCellAnchor>
  <xdr:twoCellAnchor editAs="oneCell">
    <xdr:from>
      <xdr:col>1</xdr:col>
      <xdr:colOff>47626</xdr:colOff>
      <xdr:row>20</xdr:row>
      <xdr:rowOff>28576</xdr:rowOff>
    </xdr:from>
    <xdr:to>
      <xdr:col>1</xdr:col>
      <xdr:colOff>942976</xdr:colOff>
      <xdr:row>20</xdr:row>
      <xdr:rowOff>1112342</xdr:rowOff>
    </xdr:to>
    <xdr:pic>
      <xdr:nvPicPr>
        <xdr:cNvPr id="25" name="Billede 24">
          <a:extLst>
            <a:ext uri="{FF2B5EF4-FFF2-40B4-BE49-F238E27FC236}">
              <a16:creationId xmlns:a16="http://schemas.microsoft.com/office/drawing/2014/main" id="{325299EA-4A5C-49FC-E8B4-3FCA1D775539}"/>
            </a:ext>
          </a:extLst>
        </xdr:cNvPr>
        <xdr:cNvPicPr>
          <a:picLocks noChangeAspect="1"/>
        </xdr:cNvPicPr>
      </xdr:nvPicPr>
      <xdr:blipFill>
        <a:blip xmlns:r="http://schemas.openxmlformats.org/officeDocument/2006/relationships" r:embed="rId7"/>
        <a:stretch>
          <a:fillRect/>
        </a:stretch>
      </xdr:blipFill>
      <xdr:spPr>
        <a:xfrm>
          <a:off x="2038351" y="19983451"/>
          <a:ext cx="895350" cy="1083766"/>
        </a:xfrm>
        <a:prstGeom prst="rect">
          <a:avLst/>
        </a:prstGeom>
      </xdr:spPr>
    </xdr:pic>
    <xdr:clientData/>
  </xdr:twoCellAnchor>
  <xdr:twoCellAnchor editAs="oneCell">
    <xdr:from>
      <xdr:col>1</xdr:col>
      <xdr:colOff>47626</xdr:colOff>
      <xdr:row>21</xdr:row>
      <xdr:rowOff>38101</xdr:rowOff>
    </xdr:from>
    <xdr:to>
      <xdr:col>1</xdr:col>
      <xdr:colOff>942976</xdr:colOff>
      <xdr:row>21</xdr:row>
      <xdr:rowOff>1121867</xdr:rowOff>
    </xdr:to>
    <xdr:pic>
      <xdr:nvPicPr>
        <xdr:cNvPr id="26" name="Billede 25">
          <a:extLst>
            <a:ext uri="{FF2B5EF4-FFF2-40B4-BE49-F238E27FC236}">
              <a16:creationId xmlns:a16="http://schemas.microsoft.com/office/drawing/2014/main" id="{9F96BB83-75DC-4C5F-9943-AEB1717BFCEC}"/>
            </a:ext>
          </a:extLst>
        </xdr:cNvPr>
        <xdr:cNvPicPr>
          <a:picLocks noChangeAspect="1"/>
        </xdr:cNvPicPr>
      </xdr:nvPicPr>
      <xdr:blipFill>
        <a:blip xmlns:r="http://schemas.openxmlformats.org/officeDocument/2006/relationships" r:embed="rId7"/>
        <a:stretch>
          <a:fillRect/>
        </a:stretch>
      </xdr:blipFill>
      <xdr:spPr>
        <a:xfrm>
          <a:off x="2038351" y="21135976"/>
          <a:ext cx="895350" cy="1083766"/>
        </a:xfrm>
        <a:prstGeom prst="rect">
          <a:avLst/>
        </a:prstGeom>
      </xdr:spPr>
    </xdr:pic>
    <xdr:clientData/>
  </xdr:twoCellAnchor>
  <xdr:twoCellAnchor editAs="oneCell">
    <xdr:from>
      <xdr:col>20</xdr:col>
      <xdr:colOff>66676</xdr:colOff>
      <xdr:row>10</xdr:row>
      <xdr:rowOff>123826</xdr:rowOff>
    </xdr:from>
    <xdr:to>
      <xdr:col>20</xdr:col>
      <xdr:colOff>1006389</xdr:colOff>
      <xdr:row>10</xdr:row>
      <xdr:rowOff>1238250</xdr:rowOff>
    </xdr:to>
    <xdr:pic>
      <xdr:nvPicPr>
        <xdr:cNvPr id="23" name="Billede 22">
          <a:extLst>
            <a:ext uri="{FF2B5EF4-FFF2-40B4-BE49-F238E27FC236}">
              <a16:creationId xmlns:a16="http://schemas.microsoft.com/office/drawing/2014/main" id="{2E4A072F-F876-2653-93A8-200AF214B4C1}"/>
            </a:ext>
          </a:extLst>
        </xdr:cNvPr>
        <xdr:cNvPicPr>
          <a:picLocks noChangeAspect="1"/>
        </xdr:cNvPicPr>
      </xdr:nvPicPr>
      <xdr:blipFill>
        <a:blip xmlns:r="http://schemas.openxmlformats.org/officeDocument/2006/relationships" r:embed="rId8"/>
        <a:stretch>
          <a:fillRect/>
        </a:stretch>
      </xdr:blipFill>
      <xdr:spPr>
        <a:xfrm>
          <a:off x="21659851" y="8572501"/>
          <a:ext cx="939713" cy="1114424"/>
        </a:xfrm>
        <a:prstGeom prst="rect">
          <a:avLst/>
        </a:prstGeom>
      </xdr:spPr>
    </xdr:pic>
    <xdr:clientData/>
  </xdr:twoCellAnchor>
  <xdr:twoCellAnchor editAs="oneCell">
    <xdr:from>
      <xdr:col>20</xdr:col>
      <xdr:colOff>47625</xdr:colOff>
      <xdr:row>14</xdr:row>
      <xdr:rowOff>47625</xdr:rowOff>
    </xdr:from>
    <xdr:to>
      <xdr:col>20</xdr:col>
      <xdr:colOff>947180</xdr:colOff>
      <xdr:row>14</xdr:row>
      <xdr:rowOff>1114425</xdr:rowOff>
    </xdr:to>
    <xdr:pic>
      <xdr:nvPicPr>
        <xdr:cNvPr id="24" name="Billede 23">
          <a:extLst>
            <a:ext uri="{FF2B5EF4-FFF2-40B4-BE49-F238E27FC236}">
              <a16:creationId xmlns:a16="http://schemas.microsoft.com/office/drawing/2014/main" id="{DE06F890-AA7A-4C10-8979-0DD59C472E65}"/>
            </a:ext>
          </a:extLst>
        </xdr:cNvPr>
        <xdr:cNvPicPr>
          <a:picLocks noChangeAspect="1"/>
        </xdr:cNvPicPr>
      </xdr:nvPicPr>
      <xdr:blipFill>
        <a:blip xmlns:r="http://schemas.openxmlformats.org/officeDocument/2006/relationships" r:embed="rId8"/>
        <a:stretch>
          <a:fillRect/>
        </a:stretch>
      </xdr:blipFill>
      <xdr:spPr>
        <a:xfrm>
          <a:off x="21640800" y="13258800"/>
          <a:ext cx="899555" cy="1066800"/>
        </a:xfrm>
        <a:prstGeom prst="rect">
          <a:avLst/>
        </a:prstGeom>
      </xdr:spPr>
    </xdr:pic>
    <xdr:clientData/>
  </xdr:twoCellAnchor>
  <xdr:twoCellAnchor editAs="oneCell">
    <xdr:from>
      <xdr:col>20</xdr:col>
      <xdr:colOff>57150</xdr:colOff>
      <xdr:row>15</xdr:row>
      <xdr:rowOff>47625</xdr:rowOff>
    </xdr:from>
    <xdr:to>
      <xdr:col>20</xdr:col>
      <xdr:colOff>948673</xdr:colOff>
      <xdr:row>15</xdr:row>
      <xdr:rowOff>1104900</xdr:rowOff>
    </xdr:to>
    <xdr:pic>
      <xdr:nvPicPr>
        <xdr:cNvPr id="27" name="Billede 26">
          <a:extLst>
            <a:ext uri="{FF2B5EF4-FFF2-40B4-BE49-F238E27FC236}">
              <a16:creationId xmlns:a16="http://schemas.microsoft.com/office/drawing/2014/main" id="{DA333C52-913B-4D56-B7C1-9A3CF14057A9}"/>
            </a:ext>
          </a:extLst>
        </xdr:cNvPr>
        <xdr:cNvPicPr>
          <a:picLocks noChangeAspect="1"/>
        </xdr:cNvPicPr>
      </xdr:nvPicPr>
      <xdr:blipFill>
        <a:blip xmlns:r="http://schemas.openxmlformats.org/officeDocument/2006/relationships" r:embed="rId8"/>
        <a:stretch>
          <a:fillRect/>
        </a:stretch>
      </xdr:blipFill>
      <xdr:spPr>
        <a:xfrm>
          <a:off x="21650325" y="14401800"/>
          <a:ext cx="891523" cy="1057275"/>
        </a:xfrm>
        <a:prstGeom prst="rect">
          <a:avLst/>
        </a:prstGeom>
      </xdr:spPr>
    </xdr:pic>
    <xdr:clientData/>
  </xdr:twoCellAnchor>
  <xdr:twoCellAnchor editAs="oneCell">
    <xdr:from>
      <xdr:col>20</xdr:col>
      <xdr:colOff>38100</xdr:colOff>
      <xdr:row>16</xdr:row>
      <xdr:rowOff>38100</xdr:rowOff>
    </xdr:from>
    <xdr:to>
      <xdr:col>20</xdr:col>
      <xdr:colOff>937655</xdr:colOff>
      <xdr:row>16</xdr:row>
      <xdr:rowOff>1104900</xdr:rowOff>
    </xdr:to>
    <xdr:pic>
      <xdr:nvPicPr>
        <xdr:cNvPr id="29" name="Billede 28">
          <a:extLst>
            <a:ext uri="{FF2B5EF4-FFF2-40B4-BE49-F238E27FC236}">
              <a16:creationId xmlns:a16="http://schemas.microsoft.com/office/drawing/2014/main" id="{B99240FF-49FC-4B0A-A304-459A8017CEC5}"/>
            </a:ext>
          </a:extLst>
        </xdr:cNvPr>
        <xdr:cNvPicPr>
          <a:picLocks noChangeAspect="1"/>
        </xdr:cNvPicPr>
      </xdr:nvPicPr>
      <xdr:blipFill>
        <a:blip xmlns:r="http://schemas.openxmlformats.org/officeDocument/2006/relationships" r:embed="rId8"/>
        <a:stretch>
          <a:fillRect/>
        </a:stretch>
      </xdr:blipFill>
      <xdr:spPr>
        <a:xfrm>
          <a:off x="21631275" y="15535275"/>
          <a:ext cx="899555" cy="1066800"/>
        </a:xfrm>
        <a:prstGeom prst="rect">
          <a:avLst/>
        </a:prstGeom>
      </xdr:spPr>
    </xdr:pic>
    <xdr:clientData/>
  </xdr:twoCellAnchor>
  <xdr:twoCellAnchor editAs="oneCell">
    <xdr:from>
      <xdr:col>20</xdr:col>
      <xdr:colOff>66675</xdr:colOff>
      <xdr:row>17</xdr:row>
      <xdr:rowOff>57150</xdr:rowOff>
    </xdr:from>
    <xdr:to>
      <xdr:col>20</xdr:col>
      <xdr:colOff>966230</xdr:colOff>
      <xdr:row>17</xdr:row>
      <xdr:rowOff>1123950</xdr:rowOff>
    </xdr:to>
    <xdr:pic>
      <xdr:nvPicPr>
        <xdr:cNvPr id="30" name="Billede 29">
          <a:extLst>
            <a:ext uri="{FF2B5EF4-FFF2-40B4-BE49-F238E27FC236}">
              <a16:creationId xmlns:a16="http://schemas.microsoft.com/office/drawing/2014/main" id="{1BB34A32-EA31-4BBA-A6C5-C3951FCB9232}"/>
            </a:ext>
          </a:extLst>
        </xdr:cNvPr>
        <xdr:cNvPicPr>
          <a:picLocks noChangeAspect="1"/>
        </xdr:cNvPicPr>
      </xdr:nvPicPr>
      <xdr:blipFill>
        <a:blip xmlns:r="http://schemas.openxmlformats.org/officeDocument/2006/relationships" r:embed="rId8"/>
        <a:stretch>
          <a:fillRect/>
        </a:stretch>
      </xdr:blipFill>
      <xdr:spPr>
        <a:xfrm>
          <a:off x="21659850" y="16697325"/>
          <a:ext cx="899555" cy="1066800"/>
        </a:xfrm>
        <a:prstGeom prst="rect">
          <a:avLst/>
        </a:prstGeom>
      </xdr:spPr>
    </xdr:pic>
    <xdr:clientData/>
  </xdr:twoCellAnchor>
  <xdr:twoCellAnchor editAs="oneCell">
    <xdr:from>
      <xdr:col>20</xdr:col>
      <xdr:colOff>66674</xdr:colOff>
      <xdr:row>11</xdr:row>
      <xdr:rowOff>228599</xdr:rowOff>
    </xdr:from>
    <xdr:to>
      <xdr:col>20</xdr:col>
      <xdr:colOff>1143857</xdr:colOff>
      <xdr:row>11</xdr:row>
      <xdr:rowOff>1038224</xdr:rowOff>
    </xdr:to>
    <xdr:pic>
      <xdr:nvPicPr>
        <xdr:cNvPr id="31" name="Billede 30">
          <a:extLst>
            <a:ext uri="{FF2B5EF4-FFF2-40B4-BE49-F238E27FC236}">
              <a16:creationId xmlns:a16="http://schemas.microsoft.com/office/drawing/2014/main" id="{6F241731-A1A3-8D51-702E-71BC3AD08EA5}"/>
            </a:ext>
          </a:extLst>
        </xdr:cNvPr>
        <xdr:cNvPicPr>
          <a:picLocks noChangeAspect="1"/>
        </xdr:cNvPicPr>
      </xdr:nvPicPr>
      <xdr:blipFill>
        <a:blip xmlns:r="http://schemas.openxmlformats.org/officeDocument/2006/relationships" r:embed="rId9"/>
        <a:stretch>
          <a:fillRect/>
        </a:stretch>
      </xdr:blipFill>
      <xdr:spPr>
        <a:xfrm>
          <a:off x="21659849" y="10010774"/>
          <a:ext cx="1077183" cy="809625"/>
        </a:xfrm>
        <a:prstGeom prst="rect">
          <a:avLst/>
        </a:prstGeom>
      </xdr:spPr>
    </xdr:pic>
    <xdr:clientData/>
  </xdr:twoCellAnchor>
  <xdr:twoCellAnchor editAs="oneCell">
    <xdr:from>
      <xdr:col>20</xdr:col>
      <xdr:colOff>76200</xdr:colOff>
      <xdr:row>12</xdr:row>
      <xdr:rowOff>190500</xdr:rowOff>
    </xdr:from>
    <xdr:to>
      <xdr:col>20</xdr:col>
      <xdr:colOff>1153383</xdr:colOff>
      <xdr:row>12</xdr:row>
      <xdr:rowOff>1000125</xdr:rowOff>
    </xdr:to>
    <xdr:pic>
      <xdr:nvPicPr>
        <xdr:cNvPr id="32" name="Billede 31">
          <a:extLst>
            <a:ext uri="{FF2B5EF4-FFF2-40B4-BE49-F238E27FC236}">
              <a16:creationId xmlns:a16="http://schemas.microsoft.com/office/drawing/2014/main" id="{30026C1B-1437-4E88-9813-A808DCFEE92F}"/>
            </a:ext>
          </a:extLst>
        </xdr:cNvPr>
        <xdr:cNvPicPr>
          <a:picLocks noChangeAspect="1"/>
        </xdr:cNvPicPr>
      </xdr:nvPicPr>
      <xdr:blipFill>
        <a:blip xmlns:r="http://schemas.openxmlformats.org/officeDocument/2006/relationships" r:embed="rId9"/>
        <a:stretch>
          <a:fillRect/>
        </a:stretch>
      </xdr:blipFill>
      <xdr:spPr>
        <a:xfrm>
          <a:off x="21669375" y="11115675"/>
          <a:ext cx="1077183" cy="809625"/>
        </a:xfrm>
        <a:prstGeom prst="rect">
          <a:avLst/>
        </a:prstGeom>
      </xdr:spPr>
    </xdr:pic>
    <xdr:clientData/>
  </xdr:twoCellAnchor>
  <xdr:twoCellAnchor editAs="oneCell">
    <xdr:from>
      <xdr:col>20</xdr:col>
      <xdr:colOff>66675</xdr:colOff>
      <xdr:row>13</xdr:row>
      <xdr:rowOff>190500</xdr:rowOff>
    </xdr:from>
    <xdr:to>
      <xdr:col>20</xdr:col>
      <xdr:colOff>1143858</xdr:colOff>
      <xdr:row>13</xdr:row>
      <xdr:rowOff>1000125</xdr:rowOff>
    </xdr:to>
    <xdr:pic>
      <xdr:nvPicPr>
        <xdr:cNvPr id="33" name="Billede 32">
          <a:extLst>
            <a:ext uri="{FF2B5EF4-FFF2-40B4-BE49-F238E27FC236}">
              <a16:creationId xmlns:a16="http://schemas.microsoft.com/office/drawing/2014/main" id="{698D09CA-6C0E-46E9-ADE8-752942266FF4}"/>
            </a:ext>
          </a:extLst>
        </xdr:cNvPr>
        <xdr:cNvPicPr>
          <a:picLocks noChangeAspect="1"/>
        </xdr:cNvPicPr>
      </xdr:nvPicPr>
      <xdr:blipFill>
        <a:blip xmlns:r="http://schemas.openxmlformats.org/officeDocument/2006/relationships" r:embed="rId9"/>
        <a:stretch>
          <a:fillRect/>
        </a:stretch>
      </xdr:blipFill>
      <xdr:spPr>
        <a:xfrm>
          <a:off x="21659850" y="12258675"/>
          <a:ext cx="1077183" cy="809625"/>
        </a:xfrm>
        <a:prstGeom prst="rect">
          <a:avLst/>
        </a:prstGeom>
      </xdr:spPr>
    </xdr:pic>
    <xdr:clientData/>
  </xdr:twoCellAnchor>
  <xdr:twoCellAnchor editAs="oneCell">
    <xdr:from>
      <xdr:col>20</xdr:col>
      <xdr:colOff>47626</xdr:colOff>
      <xdr:row>18</xdr:row>
      <xdr:rowOff>352425</xdr:rowOff>
    </xdr:from>
    <xdr:to>
      <xdr:col>20</xdr:col>
      <xdr:colOff>1223048</xdr:colOff>
      <xdr:row>18</xdr:row>
      <xdr:rowOff>1238250</xdr:rowOff>
    </xdr:to>
    <xdr:pic>
      <xdr:nvPicPr>
        <xdr:cNvPr id="34" name="Billede 33">
          <a:extLst>
            <a:ext uri="{FF2B5EF4-FFF2-40B4-BE49-F238E27FC236}">
              <a16:creationId xmlns:a16="http://schemas.microsoft.com/office/drawing/2014/main" id="{F97179EE-CC1C-9E62-FA08-949D80AA222D}"/>
            </a:ext>
          </a:extLst>
        </xdr:cNvPr>
        <xdr:cNvPicPr>
          <a:picLocks noChangeAspect="1"/>
        </xdr:cNvPicPr>
      </xdr:nvPicPr>
      <xdr:blipFill>
        <a:blip xmlns:r="http://schemas.openxmlformats.org/officeDocument/2006/relationships" r:embed="rId10"/>
        <a:stretch>
          <a:fillRect/>
        </a:stretch>
      </xdr:blipFill>
      <xdr:spPr>
        <a:xfrm>
          <a:off x="21640801" y="18135600"/>
          <a:ext cx="1175422" cy="885825"/>
        </a:xfrm>
        <a:prstGeom prst="rect">
          <a:avLst/>
        </a:prstGeom>
      </xdr:spPr>
    </xdr:pic>
    <xdr:clientData/>
  </xdr:twoCellAnchor>
  <xdr:twoCellAnchor editAs="oneCell">
    <xdr:from>
      <xdr:col>20</xdr:col>
      <xdr:colOff>57150</xdr:colOff>
      <xdr:row>19</xdr:row>
      <xdr:rowOff>238125</xdr:rowOff>
    </xdr:from>
    <xdr:to>
      <xdr:col>20</xdr:col>
      <xdr:colOff>1232572</xdr:colOff>
      <xdr:row>19</xdr:row>
      <xdr:rowOff>1123950</xdr:rowOff>
    </xdr:to>
    <xdr:pic>
      <xdr:nvPicPr>
        <xdr:cNvPr id="35" name="Billede 34">
          <a:extLst>
            <a:ext uri="{FF2B5EF4-FFF2-40B4-BE49-F238E27FC236}">
              <a16:creationId xmlns:a16="http://schemas.microsoft.com/office/drawing/2014/main" id="{DB64548B-0645-447F-AC13-9C5051467120}"/>
            </a:ext>
          </a:extLst>
        </xdr:cNvPr>
        <xdr:cNvPicPr>
          <a:picLocks noChangeAspect="1"/>
        </xdr:cNvPicPr>
      </xdr:nvPicPr>
      <xdr:blipFill>
        <a:blip xmlns:r="http://schemas.openxmlformats.org/officeDocument/2006/relationships" r:embed="rId10"/>
        <a:stretch>
          <a:fillRect/>
        </a:stretch>
      </xdr:blipFill>
      <xdr:spPr>
        <a:xfrm>
          <a:off x="21650325" y="19545300"/>
          <a:ext cx="1175422" cy="885825"/>
        </a:xfrm>
        <a:prstGeom prst="rect">
          <a:avLst/>
        </a:prstGeom>
      </xdr:spPr>
    </xdr:pic>
    <xdr:clientData/>
  </xdr:twoCellAnchor>
  <xdr:twoCellAnchor editAs="oneCell">
    <xdr:from>
      <xdr:col>20</xdr:col>
      <xdr:colOff>57150</xdr:colOff>
      <xdr:row>20</xdr:row>
      <xdr:rowOff>161925</xdr:rowOff>
    </xdr:from>
    <xdr:to>
      <xdr:col>20</xdr:col>
      <xdr:colOff>1232572</xdr:colOff>
      <xdr:row>20</xdr:row>
      <xdr:rowOff>1047750</xdr:rowOff>
    </xdr:to>
    <xdr:pic>
      <xdr:nvPicPr>
        <xdr:cNvPr id="36" name="Billede 35">
          <a:extLst>
            <a:ext uri="{FF2B5EF4-FFF2-40B4-BE49-F238E27FC236}">
              <a16:creationId xmlns:a16="http://schemas.microsoft.com/office/drawing/2014/main" id="{43AAE4C8-1C8C-4FCC-B5B4-6D9027A87B35}"/>
            </a:ext>
          </a:extLst>
        </xdr:cNvPr>
        <xdr:cNvPicPr>
          <a:picLocks noChangeAspect="1"/>
        </xdr:cNvPicPr>
      </xdr:nvPicPr>
      <xdr:blipFill>
        <a:blip xmlns:r="http://schemas.openxmlformats.org/officeDocument/2006/relationships" r:embed="rId10"/>
        <a:stretch>
          <a:fillRect/>
        </a:stretch>
      </xdr:blipFill>
      <xdr:spPr>
        <a:xfrm>
          <a:off x="21650325" y="20802600"/>
          <a:ext cx="1175422" cy="885825"/>
        </a:xfrm>
        <a:prstGeom prst="rect">
          <a:avLst/>
        </a:prstGeom>
      </xdr:spPr>
    </xdr:pic>
    <xdr:clientData/>
  </xdr:twoCellAnchor>
  <xdr:twoCellAnchor editAs="oneCell">
    <xdr:from>
      <xdr:col>20</xdr:col>
      <xdr:colOff>57150</xdr:colOff>
      <xdr:row>21</xdr:row>
      <xdr:rowOff>152400</xdr:rowOff>
    </xdr:from>
    <xdr:to>
      <xdr:col>20</xdr:col>
      <xdr:colOff>1232572</xdr:colOff>
      <xdr:row>21</xdr:row>
      <xdr:rowOff>1038225</xdr:rowOff>
    </xdr:to>
    <xdr:pic>
      <xdr:nvPicPr>
        <xdr:cNvPr id="37" name="Billede 36">
          <a:extLst>
            <a:ext uri="{FF2B5EF4-FFF2-40B4-BE49-F238E27FC236}">
              <a16:creationId xmlns:a16="http://schemas.microsoft.com/office/drawing/2014/main" id="{E64A494F-86B3-40EB-A2AA-DDF7B098CA28}"/>
            </a:ext>
          </a:extLst>
        </xdr:cNvPr>
        <xdr:cNvPicPr>
          <a:picLocks noChangeAspect="1"/>
        </xdr:cNvPicPr>
      </xdr:nvPicPr>
      <xdr:blipFill>
        <a:blip xmlns:r="http://schemas.openxmlformats.org/officeDocument/2006/relationships" r:embed="rId10"/>
        <a:stretch>
          <a:fillRect/>
        </a:stretch>
      </xdr:blipFill>
      <xdr:spPr>
        <a:xfrm>
          <a:off x="21650325" y="21936075"/>
          <a:ext cx="1175422" cy="885825"/>
        </a:xfrm>
        <a:prstGeom prst="rect">
          <a:avLst/>
        </a:prstGeom>
      </xdr:spPr>
    </xdr:pic>
    <xdr:clientData/>
  </xdr:twoCellAnchor>
  <xdr:twoCellAnchor editAs="oneCell">
    <xdr:from>
      <xdr:col>20</xdr:col>
      <xdr:colOff>47625</xdr:colOff>
      <xdr:row>22</xdr:row>
      <xdr:rowOff>209550</xdr:rowOff>
    </xdr:from>
    <xdr:to>
      <xdr:col>20</xdr:col>
      <xdr:colOff>1223047</xdr:colOff>
      <xdr:row>22</xdr:row>
      <xdr:rowOff>1095375</xdr:rowOff>
    </xdr:to>
    <xdr:pic>
      <xdr:nvPicPr>
        <xdr:cNvPr id="38" name="Billede 37">
          <a:extLst>
            <a:ext uri="{FF2B5EF4-FFF2-40B4-BE49-F238E27FC236}">
              <a16:creationId xmlns:a16="http://schemas.microsoft.com/office/drawing/2014/main" id="{33D97BB1-7147-44A5-8B35-A2F2A808A2BC}"/>
            </a:ext>
          </a:extLst>
        </xdr:cNvPr>
        <xdr:cNvPicPr>
          <a:picLocks noChangeAspect="1"/>
        </xdr:cNvPicPr>
      </xdr:nvPicPr>
      <xdr:blipFill>
        <a:blip xmlns:r="http://schemas.openxmlformats.org/officeDocument/2006/relationships" r:embed="rId10"/>
        <a:stretch>
          <a:fillRect/>
        </a:stretch>
      </xdr:blipFill>
      <xdr:spPr>
        <a:xfrm>
          <a:off x="21640800" y="23136225"/>
          <a:ext cx="1175422" cy="885825"/>
        </a:xfrm>
        <a:prstGeom prst="rect">
          <a:avLst/>
        </a:prstGeom>
      </xdr:spPr>
    </xdr:pic>
    <xdr:clientData/>
  </xdr:twoCellAnchor>
  <xdr:twoCellAnchor editAs="oneCell">
    <xdr:from>
      <xdr:col>20</xdr:col>
      <xdr:colOff>47625</xdr:colOff>
      <xdr:row>6</xdr:row>
      <xdr:rowOff>219075</xdr:rowOff>
    </xdr:from>
    <xdr:to>
      <xdr:col>20</xdr:col>
      <xdr:colOff>1219200</xdr:colOff>
      <xdr:row>6</xdr:row>
      <xdr:rowOff>920346</xdr:rowOff>
    </xdr:to>
    <xdr:pic>
      <xdr:nvPicPr>
        <xdr:cNvPr id="39" name="Billede 38">
          <a:extLst>
            <a:ext uri="{FF2B5EF4-FFF2-40B4-BE49-F238E27FC236}">
              <a16:creationId xmlns:a16="http://schemas.microsoft.com/office/drawing/2014/main" id="{6CFBE40A-2E64-7FCB-1DBD-A9CE614C8F89}"/>
            </a:ext>
          </a:extLst>
        </xdr:cNvPr>
        <xdr:cNvPicPr>
          <a:picLocks noChangeAspect="1"/>
        </xdr:cNvPicPr>
      </xdr:nvPicPr>
      <xdr:blipFill>
        <a:blip xmlns:r="http://schemas.openxmlformats.org/officeDocument/2006/relationships" r:embed="rId11"/>
        <a:stretch>
          <a:fillRect/>
        </a:stretch>
      </xdr:blipFill>
      <xdr:spPr>
        <a:xfrm>
          <a:off x="21640800" y="4286250"/>
          <a:ext cx="1171575" cy="701271"/>
        </a:xfrm>
        <a:prstGeom prst="rect">
          <a:avLst/>
        </a:prstGeom>
      </xdr:spPr>
    </xdr:pic>
    <xdr:clientData/>
  </xdr:twoCellAnchor>
  <xdr:twoCellAnchor editAs="oneCell">
    <xdr:from>
      <xdr:col>20</xdr:col>
      <xdr:colOff>57150</xdr:colOff>
      <xdr:row>5</xdr:row>
      <xdr:rowOff>209550</xdr:rowOff>
    </xdr:from>
    <xdr:to>
      <xdr:col>20</xdr:col>
      <xdr:colOff>1228725</xdr:colOff>
      <xdr:row>5</xdr:row>
      <xdr:rowOff>910821</xdr:rowOff>
    </xdr:to>
    <xdr:pic>
      <xdr:nvPicPr>
        <xdr:cNvPr id="40" name="Billede 39">
          <a:extLst>
            <a:ext uri="{FF2B5EF4-FFF2-40B4-BE49-F238E27FC236}">
              <a16:creationId xmlns:a16="http://schemas.microsoft.com/office/drawing/2014/main" id="{F55FEA49-F5F6-4B26-9ABA-FEA091777338}"/>
            </a:ext>
          </a:extLst>
        </xdr:cNvPr>
        <xdr:cNvPicPr>
          <a:picLocks noChangeAspect="1"/>
        </xdr:cNvPicPr>
      </xdr:nvPicPr>
      <xdr:blipFill>
        <a:blip xmlns:r="http://schemas.openxmlformats.org/officeDocument/2006/relationships" r:embed="rId11"/>
        <a:stretch>
          <a:fillRect/>
        </a:stretch>
      </xdr:blipFill>
      <xdr:spPr>
        <a:xfrm>
          <a:off x="21650325" y="3133725"/>
          <a:ext cx="1171575" cy="701271"/>
        </a:xfrm>
        <a:prstGeom prst="rect">
          <a:avLst/>
        </a:prstGeom>
      </xdr:spPr>
    </xdr:pic>
    <xdr:clientData/>
  </xdr:twoCellAnchor>
  <xdr:twoCellAnchor editAs="oneCell">
    <xdr:from>
      <xdr:col>20</xdr:col>
      <xdr:colOff>38100</xdr:colOff>
      <xdr:row>7</xdr:row>
      <xdr:rowOff>209550</xdr:rowOff>
    </xdr:from>
    <xdr:to>
      <xdr:col>20</xdr:col>
      <xdr:colOff>1209675</xdr:colOff>
      <xdr:row>7</xdr:row>
      <xdr:rowOff>910821</xdr:rowOff>
    </xdr:to>
    <xdr:pic>
      <xdr:nvPicPr>
        <xdr:cNvPr id="41" name="Billede 40">
          <a:extLst>
            <a:ext uri="{FF2B5EF4-FFF2-40B4-BE49-F238E27FC236}">
              <a16:creationId xmlns:a16="http://schemas.microsoft.com/office/drawing/2014/main" id="{8F9C0F01-F532-4FD1-922E-3C370D80A57B}"/>
            </a:ext>
          </a:extLst>
        </xdr:cNvPr>
        <xdr:cNvPicPr>
          <a:picLocks noChangeAspect="1"/>
        </xdr:cNvPicPr>
      </xdr:nvPicPr>
      <xdr:blipFill>
        <a:blip xmlns:r="http://schemas.openxmlformats.org/officeDocument/2006/relationships" r:embed="rId11"/>
        <a:stretch>
          <a:fillRect/>
        </a:stretch>
      </xdr:blipFill>
      <xdr:spPr>
        <a:xfrm>
          <a:off x="21631275" y="5419725"/>
          <a:ext cx="1171575" cy="701271"/>
        </a:xfrm>
        <a:prstGeom prst="rect">
          <a:avLst/>
        </a:prstGeom>
      </xdr:spPr>
    </xdr:pic>
    <xdr:clientData/>
  </xdr:twoCellAnchor>
  <xdr:twoCellAnchor editAs="oneCell">
    <xdr:from>
      <xdr:col>20</xdr:col>
      <xdr:colOff>57150</xdr:colOff>
      <xdr:row>8</xdr:row>
      <xdr:rowOff>228600</xdr:rowOff>
    </xdr:from>
    <xdr:to>
      <xdr:col>20</xdr:col>
      <xdr:colOff>1228725</xdr:colOff>
      <xdr:row>8</xdr:row>
      <xdr:rowOff>929871</xdr:rowOff>
    </xdr:to>
    <xdr:pic>
      <xdr:nvPicPr>
        <xdr:cNvPr id="42" name="Billede 41">
          <a:extLst>
            <a:ext uri="{FF2B5EF4-FFF2-40B4-BE49-F238E27FC236}">
              <a16:creationId xmlns:a16="http://schemas.microsoft.com/office/drawing/2014/main" id="{F49DD799-F428-4430-A905-FE369AC17359}"/>
            </a:ext>
          </a:extLst>
        </xdr:cNvPr>
        <xdr:cNvPicPr>
          <a:picLocks noChangeAspect="1"/>
        </xdr:cNvPicPr>
      </xdr:nvPicPr>
      <xdr:blipFill>
        <a:blip xmlns:r="http://schemas.openxmlformats.org/officeDocument/2006/relationships" r:embed="rId11"/>
        <a:stretch>
          <a:fillRect/>
        </a:stretch>
      </xdr:blipFill>
      <xdr:spPr>
        <a:xfrm>
          <a:off x="21650325" y="6581775"/>
          <a:ext cx="1171575" cy="701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345282</xdr:colOff>
      <xdr:row>66</xdr:row>
      <xdr:rowOff>83344</xdr:rowOff>
    </xdr:from>
    <xdr:to>
      <xdr:col>19</xdr:col>
      <xdr:colOff>160120</xdr:colOff>
      <xdr:row>84</xdr:row>
      <xdr:rowOff>117194</xdr:rowOff>
    </xdr:to>
    <xdr:pic>
      <xdr:nvPicPr>
        <xdr:cNvPr id="2" name="Billede 1">
          <a:extLst>
            <a:ext uri="{FF2B5EF4-FFF2-40B4-BE49-F238E27FC236}">
              <a16:creationId xmlns:a16="http://schemas.microsoft.com/office/drawing/2014/main" id="{45618FDA-E951-73EC-5E47-94965A1ABDB7}"/>
            </a:ext>
          </a:extLst>
        </xdr:cNvPr>
        <xdr:cNvPicPr>
          <a:picLocks noChangeAspect="1"/>
        </xdr:cNvPicPr>
      </xdr:nvPicPr>
      <xdr:blipFill>
        <a:blip xmlns:r="http://schemas.openxmlformats.org/officeDocument/2006/relationships" r:embed="rId1"/>
        <a:stretch>
          <a:fillRect/>
        </a:stretch>
      </xdr:blipFill>
      <xdr:spPr>
        <a:xfrm>
          <a:off x="19192876" y="15763875"/>
          <a:ext cx="2243712" cy="45344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162884</xdr:colOff>
      <xdr:row>37</xdr:row>
      <xdr:rowOff>134352</xdr:rowOff>
    </xdr:to>
    <xdr:pic>
      <xdr:nvPicPr>
        <xdr:cNvPr id="2" name="Billede 1">
          <a:extLst>
            <a:ext uri="{FF2B5EF4-FFF2-40B4-BE49-F238E27FC236}">
              <a16:creationId xmlns:a16="http://schemas.microsoft.com/office/drawing/2014/main" id="{FF3B1B6B-B501-3FB4-354D-A65AF091F02B}"/>
            </a:ext>
          </a:extLst>
        </xdr:cNvPr>
        <xdr:cNvPicPr>
          <a:picLocks noChangeAspect="1"/>
        </xdr:cNvPicPr>
      </xdr:nvPicPr>
      <xdr:blipFill>
        <a:blip xmlns:r="http://schemas.openxmlformats.org/officeDocument/2006/relationships" r:embed="rId1"/>
        <a:stretch>
          <a:fillRect/>
        </a:stretch>
      </xdr:blipFill>
      <xdr:spPr>
        <a:xfrm>
          <a:off x="0" y="0"/>
          <a:ext cx="6868484" cy="71828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5A0CA3-D382-4717-8704-7FBB537F4B6E}" name="Tabel157610" displayName="Tabel157610" ref="A5:AE24" totalsRowShown="0" headerRowDxfId="135" dataDxfId="133" headerRowBorderDxfId="134" tableBorderDxfId="132" totalsRowBorderDxfId="131">
  <autoFilter ref="A5:AE24" xr:uid="{F45A0CA3-D382-4717-8704-7FBB537F4B6E}"/>
  <tableColumns count="31">
    <tableColumn id="28" xr3:uid="{C51FEE8F-DF5D-48F6-B40C-C8A576AA57D9}" name="Artikel" dataDxfId="130"/>
    <tableColumn id="21" xr3:uid="{EE4BF658-CB67-4EDD-9F05-5A7748E8EB2C}" name="Design" dataDxfId="129"/>
    <tableColumn id="11" xr3:uid="{4E5E4003-4715-4919-8935-45566A05A15D}" name="Farve " dataDxfId="2"/>
    <tableColumn id="29" xr3:uid="{BA80861A-D1C5-474F-A0DB-7723A48F0FF3}" name="Hvidhed beskrivelse" dataDxfId="0"/>
    <tableColumn id="27" xr3:uid="{20418E7E-836D-4D9C-A564-BFC4B64CBE32}" name="udbud antal" dataDxfId="1" dataCellStyle="Komma"/>
    <tableColumn id="12" xr3:uid="{995ACABD-2D26-4CD9-BEEC-B5209E68A000}" name="CSR" dataDxfId="128"/>
    <tableColumn id="33" xr3:uid="{6E10981A-6F84-4254-B345-AAD4A175EF62}" name="Leveret bredde (før vask)" dataDxfId="127" dataCellStyle="Komma"/>
    <tableColumn id="32" xr3:uid="{0CB4FC53-5438-47EB-879D-9CD33D49E86C}" name="Leveret længde (før vask)" dataDxfId="126" dataCellStyle="Komma"/>
    <tableColumn id="13" xr3:uid="{1580E761-2CED-4DEE-83EE-AEA1FFA4679D}" name="Vægt (GSM)" dataDxfId="125"/>
    <tableColumn id="26" xr3:uid="{C8E04ED2-7F67-4AF4-848F-1154BA84A70B}" name="stk vægt kg." dataDxfId="124" dataCellStyle="Komma">
      <calculatedColumnFormula>Tabel157610[[#This Row],[Vægt (GSM)]]/1000*Tabel157610[[#This Row],[Leveret bredde (før vask)]]*Tabel157610[[#This Row],[Leveret længde (før vask)]]</calculatedColumnFormula>
    </tableColumn>
    <tableColumn id="14" xr3:uid="{F8402526-A9CB-4A00-B944-218A3A9A8784}" name="Komposition" dataDxfId="123"/>
    <tableColumn id="15" xr3:uid="{1BAD21B5-F159-4019-9B7B-4D92E4B66FC8}" name="Binding" dataDxfId="122"/>
    <tableColumn id="18" xr3:uid="{990E5C1E-CE54-4BC7-ACDF-C1725EB5FA53}" name="Garn kæde" dataDxfId="121"/>
    <tableColumn id="19" xr3:uid="{052308EA-A8B4-4475-9382-59593D7CDDCD}" name="Garn skud" dataDxfId="120"/>
    <tableColumn id="20" xr3:uid="{445924CB-E2AF-46FA-AD83-45BF6F35D25D}" name="Garn løkke" dataDxfId="119"/>
    <tableColumn id="10" xr3:uid="{B881E22A-A3CE-4EAA-A7B1-78ADD6C85C82}" name="Max krymp (overflade = krymp længde + bredde) for industriel vaske/tørre/rulle proces" dataDxfId="118"/>
    <tableColumn id="2" xr3:uid="{14A1FEF8-96A0-490C-A145-C4D3BCD0DEC6}" name="Model / lukning" dataDxfId="117"/>
    <tableColumn id="1" xr3:uid="{10A34692-68AA-4719-AD20-F326F37359BA}" name="Sy variant / farve" dataDxfId="116"/>
    <tableColumn id="3" xr3:uid="{3F8874E0-CA93-497F-8CE0-462A6CF21D6E}" name="Strop (frotte-håndklæder)" dataDxfId="115"/>
    <tableColumn id="23" xr3:uid="{292061F6-7CE2-4EC4-8AE0-D1D5A4AFDAF0}" name="Logo *)" dataDxfId="114" dataCellStyle="God"/>
    <tableColumn id="22" xr3:uid="{01F66805-6EFC-411C-B1F2-4F9882DC72E0}" name="Logo placering" dataDxfId="113"/>
    <tableColumn id="8" xr3:uid="{83391E53-1609-4EA3-AFA4-5E4A7BFB3086}" name="Mærkning / patch (duge): _x000a_Thermopatch / Thermotex_x000a_Farve: sort" dataDxfId="112" dataCellStyle="God"/>
    <tableColumn id="6" xr3:uid="{CC204ACD-74E8-4629-BB51-B78D0DF43C8C}" name="Trækstyrke kæde_x000a_Efter 1 vask _x000a_ISO 6330:2012 9N, F (A1)_x000a_ISO 13934-1:2013" dataDxfId="111"/>
    <tableColumn id="17" xr3:uid="{A6451623-ADF8-4843-B81A-8FBEE02361C9}" name="Trækstyrke skud_x000a_Efter 1 vask _x000a_ISO 6330:2012 9N, F (A1)_x000a_ISO 13934-1:2013" dataDxfId="110"/>
    <tableColumn id="7" xr3:uid="{ACDB2BE9-F7E2-48A4-BC82-7BD19765EF9B}" name="Brudstyrke_x000a_Efter 1 vask _x000a_ISO 6330:2012 9N, F (A1)_x000a_ISO 13934-1:2013_x000a_ISO 13937-1:2000" dataDxfId="109"/>
    <tableColumn id="16" xr3:uid="{D6B1AB10-02BB-419F-BD13-38098F033A49}" name="Pilling værdi_x000a_RTPT metode_x000a_Efter 1 vask _x000a_ISO 6330:2012 9N, F (A1)_x000a_ISO 12945-3:2014" dataDxfId="108"/>
    <tableColumn id="24" xr3:uid="{6EB7E380-158D-4374-9752-15FE91167361}" name="Indeholder produkterne resin af nogen art? _x000a_Beskriv + mængder" dataDxfId="107"/>
    <tableColumn id="5" xr3:uid="{4107A9CF-74AB-4189-9A97-2AE71C24D47F}" name="Minimum ordre størrelse ved genbestilling" dataDxfId="106"/>
    <tableColumn id="25" xr3:uid="{0B12A0C1-9E75-4BF7-9B79-FA0BD02F5BCD}" name="Leveringstid (kalenderuger)  LS Tórshavn fra ordre / indgåelse af aftale" dataDxfId="105"/>
    <tableColumn id="9" xr3:uid="{FA3731D4-C3E5-4B43-B333-2EB4105D79FC}" name="Pris (DKK) pr. stk frit leveret (Incoterms DDP) LS adresse Tórshavn_x000a__x000a_Eksempel.: 75,34_x000a_Ingen bogstaver" dataDxfId="104"/>
    <tableColumn id="4" xr3:uid="{5FF0B346-5240-44C9-964E-CC7399643BDA}" name="Kommentarer til tilbud" dataDxfId="10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295D03-3139-4C27-BC17-19B1B443A3B1}" name="Tabel15" displayName="Tabel15" ref="B9:AD30" totalsRowShown="0" headerRowDxfId="102" dataDxfId="100" headerRowBorderDxfId="101" tableBorderDxfId="99" totalsRowBorderDxfId="98">
  <autoFilter ref="B9:AD30" xr:uid="{BC295D03-3139-4C27-BC17-19B1B443A3B1}"/>
  <tableColumns count="29">
    <tableColumn id="31" xr3:uid="{5EBA6504-46D9-4995-AB5F-ACC1FFBEA5AF}" name="LS varenummer" dataDxfId="97"/>
    <tableColumn id="34" xr3:uid="{2A193C21-A16A-4938-AE69-498440E4DECF}" name="BV Varenummer" dataDxfId="96"/>
    <tableColumn id="4" xr3:uid="{06AC7210-E873-4FB6-A01E-DC5BC5077D3C}" name="BV kvalitet" dataDxfId="95"/>
    <tableColumn id="28" xr3:uid="{04BDC060-79B0-48D6-B20C-D0CA91D1ABEE}" name="Artikel" dataDxfId="94"/>
    <tableColumn id="5" xr3:uid="{6DDF5C1A-FA7B-485D-85C6-1DFE03CD7DE8}" name="Nyt til KG+ SPA" dataDxfId="93"/>
    <tableColumn id="6" xr3:uid="{649F91A5-909B-4212-872C-57FBC19C92D4}" name="Opyldning af lager" dataDxfId="92">
      <calculatedColumnFormula>+Tabel15[[#This Row],[Nyt til KG+ SPA]]/$G$8</calculatedColumnFormula>
    </tableColumn>
    <tableColumn id="7" xr3:uid="{C003DC47-01CC-44B2-8BA7-041D9022DA13}" name="Duge og servietter " dataDxfId="91">
      <calculatedColumnFormula>+#REF!</calculatedColumnFormula>
    </tableColumn>
    <tableColumn id="16" xr3:uid="{1265099E-FBCB-46FF-8898-ED3F6BA882DE}" name="Buffer vurderet" dataDxfId="90" dataCellStyle="Komma"/>
    <tableColumn id="17" xr3:uid="{6F2E3CF7-2ECF-40F6-9D5B-5D1F59AC60B7}" name="Total " dataDxfId="89" dataCellStyle="Komma">
      <calculatedColumnFormula>+Tabel15[[#This Row],[Nyt til KG+ SPA]]+Tabel15[[#This Row],[Opyldning af lager]]+Tabel15[[#This Row],[Duge og servietter ]]+Tabel15[[#This Row],[Buffer vurderet]]</calculatedColumnFormula>
    </tableColumn>
    <tableColumn id="27" xr3:uid="{777EE83B-D781-4100-9F12-AC637ABEA9C2}" name="Afrundet = udbud antal" dataDxfId="88" dataCellStyle="Komma"/>
    <tableColumn id="30" xr3:uid="{40447F1D-CEF0-4DBE-AF6C-7F07E62B9D9A}" name="Design **)" dataDxfId="87" dataCellStyle="Komma"/>
    <tableColumn id="12" xr3:uid="{6752ED1D-305D-43A9-96B3-DC490F76EDF6}" name="CSR" dataDxfId="86"/>
    <tableColumn id="33" xr3:uid="{E743E050-4942-4B5C-9BFE-138107BC9462}" name="Leveret bredde (før vask)" dataDxfId="85" dataCellStyle="Komma"/>
    <tableColumn id="32" xr3:uid="{B8D00FAA-695A-4737-9171-D36D404445FA}" name="Leveret længde (før vask)" dataDxfId="84" dataCellStyle="Komma"/>
    <tableColumn id="13" xr3:uid="{6729BE83-ADB5-482E-BAA7-343F97EC3666}" name="Vægt (GSM)" dataDxfId="83"/>
    <tableColumn id="26" xr3:uid="{F41CC94E-D7BC-448F-ADFA-03993E9CACF6}" name="stk vægt kg." dataDxfId="82" dataCellStyle="Komma"/>
    <tableColumn id="14" xr3:uid="{6F2B2B3C-C102-4ECA-87EF-D7BFD3140DC2}" name="Komposition" dataDxfId="81"/>
    <tableColumn id="15" xr3:uid="{49A59021-B154-49B4-9B31-690CD72DC57F}" name="Binding" dataDxfId="80"/>
    <tableColumn id="18" xr3:uid="{D8580C35-8D96-410D-9B02-32921E582063}" name="Garn kæde" dataDxfId="79"/>
    <tableColumn id="19" xr3:uid="{C6A25183-97BB-4BC1-9195-D53DE4C761F4}" name="Garn skud" dataDxfId="78"/>
    <tableColumn id="20" xr3:uid="{2B14B122-DAD9-410B-BE4A-393098C0620B}" name="Garn løkke" dataDxfId="77"/>
    <tableColumn id="10" xr3:uid="{614896EB-B15C-4765-8B71-3BBF89FEC245}" name="Max krymp" dataDxfId="76"/>
    <tableColumn id="2" xr3:uid="{7833C396-C3FA-4837-AB67-6C4D663C08BE}" name="Model" dataDxfId="75"/>
    <tableColumn id="1" xr3:uid="{41C72E17-FC2D-461E-BC39-ABBAE3BD14B2}" name="Syning / lukning" dataDxfId="74"/>
    <tableColumn id="3" xr3:uid="{D78D4249-2DB2-403B-8B2D-059A748D2A69}" name="Strop (frotte)" dataDxfId="73"/>
    <tableColumn id="23" xr3:uid="{648F77CF-17B7-4BA9-A57E-4BF3F2534472}" name="Logo *)" dataDxfId="72" dataCellStyle="God"/>
    <tableColumn id="8" xr3:uid="{DB1E4F7D-8AA9-48FA-A432-D2F9AF1C0665}" name="Mærkning: " dataDxfId="71" dataCellStyle="God"/>
    <tableColumn id="24" xr3:uid="{FCEA532D-E5CE-4725-978A-DBD041A0030D}" name="Leveringstid LS Tórshavn" dataDxfId="70"/>
    <tableColumn id="25" xr3:uid="{802BEEF2-D96D-4951-A0F3-0967C3ABBB63}" name="Pris pr. stk frit leveret Tórshavn" dataDxfId="6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78489C-55B7-452A-90B7-98595F657A06}" name="Tabel1" displayName="Tabel1" ref="B6:T191" totalsRowShown="0" headerRowDxfId="68" dataDxfId="66" headerRowBorderDxfId="67" tableBorderDxfId="65" totalsRowBorderDxfId="64">
  <autoFilter ref="B6:T191" xr:uid="{8178489C-55B7-452A-90B7-98595F657A06}">
    <filterColumn colId="1">
      <filters>
        <filter val="ja"/>
      </filters>
    </filterColumn>
  </autoFilter>
  <sortState xmlns:xlrd2="http://schemas.microsoft.com/office/spreadsheetml/2017/richdata2" ref="B8:T190">
    <sortCondition ref="B6:B190"/>
  </sortState>
  <tableColumns count="19">
    <tableColumn id="1" xr3:uid="{BDD99EC1-6C98-4048-8BE5-9EDCF2C10ABA}" name="Oversat til dansk af Hildur og Sunrid" dataDxfId="63"/>
    <tableColumn id="15" xr3:uid="{A97B0F7E-8B1C-4847-AF43-D164FFDDB0A2}" name="Buffer" dataDxfId="62"/>
    <tableColumn id="2" xr3:uid="{06B6F2D7-4981-40CA-A1E9-4A3BCCCA0C94}" name="kategori" dataDxfId="61"/>
    <tableColumn id="3" xr3:uid="{51FC4B0D-3C12-4965-9915-858C4828F7DB}" name="Vare fra kassesystem" dataDxfId="60"/>
    <tableColumn id="19" xr3:uid="{571A9179-ED11-44F5-8D22-DBB0C486A6F5}" name="NR" dataDxfId="59"/>
    <tableColumn id="18" xr3:uid="{3A53B201-860D-44AF-95CB-F77FAF1F832D}" name="BV Varenummer" dataDxfId="58"/>
    <tableColumn id="4" xr3:uid="{17D7E487-35FE-43C7-A91B-1D1B0CBFF698}" name="Claus ovesat" dataDxfId="57"/>
    <tableColumn id="5" xr3:uid="{FDA7033E-9093-42AF-925F-AD28D476CB46}" name="Stk i juli" dataDxfId="56"/>
    <tableColumn id="6" xr3:uid="{7103553B-B06A-4DC6-A9C6-5A59CA675581}" name="stk pr dag" dataDxfId="55">
      <calculatedColumnFormula>+Tabel1[[#This Row],[Stk i juli]]/$J$5</calculatedColumnFormula>
    </tableColumn>
    <tableColumn id="7" xr3:uid="{4DE2F1A2-B0DF-423B-9993-DAD44AD7B8F3}" name="stk 5 dage buffer " dataDxfId="54">
      <calculatedColumnFormula>+Tabel1[[#This Row],[stk pr dag]]*$J$4</calculatedColumnFormula>
    </tableColumn>
    <tableColumn id="16" xr3:uid="{CFDEBDD7-4DA5-4BF6-ABBE-0C24A454BFEC}" name="G&amp;V Klaksvik_x000a_Par 10 " dataDxfId="53" dataCellStyle="Komma"/>
    <tableColumn id="17" xr3:uid="{BDABBBC9-6A8C-479D-AE76-121F3D713AEB}" name="Buffer + klaksvik samlet stk = udbud" dataDxfId="52" dataCellStyle="Komma">
      <calculatedColumnFormula>Tabel1[[#This Row],[stk 5 dage buffer ]]+Tabel1[[#This Row],[G&amp;V Klaksvik
Par 10 ]]</calculatedColumnFormula>
    </tableColumn>
    <tableColumn id="9" xr3:uid="{C15E52C6-8F7F-4734-8759-0ED0CBB12C6C}" name="inkøbspris pr stk" dataDxfId="51"/>
    <tableColumn id="10" xr3:uid="{3BA8246D-D8C1-4432-916B-272ED6B0A7BA}" name="Investering" dataDxfId="50" dataCellStyle="Komma">
      <calculatedColumnFormula>+Tabel1[[#This Row],[stk 5 dage buffer ]]*Tabel1[[#This Row],[inkøbspris pr stk]]</calculatedColumnFormula>
    </tableColumn>
    <tableColumn id="11" xr3:uid="{2DDAA7A5-E821-41EB-99A8-E25B82D4C91D}" name="stk vægt" dataDxfId="49" dataCellStyle="Komma"/>
    <tableColumn id="8" xr3:uid="{EDFC2B6F-73A5-4FA3-8F2B-A87375CF27C7}" name="bemærk / SPECS" dataDxfId="48"/>
    <tableColumn id="12" xr3:uid="{149249AA-89EA-43E1-871C-5AD78753BF25}" name="stk pr container" dataDxfId="47"/>
    <tableColumn id="13" xr3:uid="{970C15D3-9856-48DC-A90F-D21883C8EF0A}" name="antal containere" dataDxfId="46"/>
    <tableColumn id="14" xr3:uid="{107137F9-1C21-4E62-8E81-85742CC37028}" name="plads behov m2" dataDxfId="4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4057DA-F6F6-4281-A4D3-04550C54849B}" name="Tabel24" displayName="Tabel24" ref="C3:N185" totalsRowShown="0" headerRowDxfId="44" dataDxfId="43" tableBorderDxfId="42">
  <autoFilter ref="C3:N185" xr:uid="{1079C9D4-1BF3-4613-BE25-9719D346FDFE}">
    <filterColumn colId="3">
      <filters>
        <filter val="0,05"/>
        <filter val="0,1"/>
        <filter val="0,15"/>
        <filter val="0,2"/>
        <filter val="0,25"/>
        <filter val="0,3"/>
        <filter val="0,35"/>
        <filter val="0,4"/>
        <filter val="0,45"/>
        <filter val="0,5"/>
        <filter val="0,55"/>
        <filter val="0,6"/>
        <filter val="0,65"/>
        <filter val="0,7"/>
        <filter val="0,75"/>
        <filter val="0,85"/>
        <filter val="0,9"/>
        <filter val="1"/>
        <filter val="1,1"/>
        <filter val="1,2"/>
        <filter val="1,35"/>
        <filter val="1,5"/>
        <filter val="1,8"/>
        <filter val="10"/>
        <filter val="10,1"/>
        <filter val="10,3"/>
        <filter val="10,75"/>
        <filter val="103"/>
        <filter val="107,7"/>
        <filter val="108"/>
        <filter val="11,3"/>
        <filter val="11,7"/>
        <filter val="11,85"/>
        <filter val="11,9"/>
        <filter val="1107,5"/>
        <filter val="118"/>
        <filter val="12,05"/>
        <filter val="1209,5"/>
        <filter val="125,05"/>
        <filter val="128"/>
        <filter val="13,35"/>
        <filter val="13,4"/>
        <filter val="13,55"/>
        <filter val="132"/>
        <filter val="14,1"/>
        <filter val="148,6"/>
        <filter val="15,8"/>
        <filter val="155"/>
        <filter val="157,7"/>
        <filter val="16"/>
        <filter val="16,7"/>
        <filter val="168"/>
        <filter val="17,35"/>
        <filter val="174,6"/>
        <filter val="18"/>
        <filter val="18,55"/>
        <filter val="18,75"/>
        <filter val="180,8"/>
        <filter val="2,15"/>
        <filter val="2,2"/>
        <filter val="2,25"/>
        <filter val="2,35"/>
        <filter val="2,5"/>
        <filter val="22,1"/>
        <filter val="23,2"/>
        <filter val="23,25"/>
        <filter val="24,2"/>
        <filter val="24,5"/>
        <filter val="248,1"/>
        <filter val="261,5"/>
        <filter val="269,1"/>
        <filter val="27,45"/>
        <filter val="27,55"/>
        <filter val="3,1"/>
        <filter val="3,2"/>
        <filter val="3,35"/>
        <filter val="3,8"/>
        <filter val="30"/>
        <filter val="30,55"/>
        <filter val="300,55"/>
        <filter val="31,05"/>
        <filter val="31,3"/>
        <filter val="31,5"/>
        <filter val="312"/>
        <filter val="32,5"/>
        <filter val="33,55"/>
        <filter val="36,65"/>
        <filter val="37,95"/>
        <filter val="4,25"/>
        <filter val="4,75"/>
        <filter val="4,8"/>
        <filter val="400,8"/>
        <filter val="43,55"/>
        <filter val="45,45"/>
        <filter val="46,7"/>
        <filter val="462,7"/>
        <filter val="463,45"/>
        <filter val="478,9"/>
        <filter val="49,95"/>
        <filter val="5,2"/>
        <filter val="5,4"/>
        <filter val="5,45"/>
        <filter val="5,75"/>
        <filter val="5,95"/>
        <filter val="51,45"/>
        <filter val="51,6"/>
        <filter val="532,7"/>
        <filter val="54,95"/>
        <filter val="55,1"/>
        <filter val="55,2"/>
        <filter val="597,05"/>
        <filter val="6"/>
        <filter val="6,05"/>
        <filter val="6,15"/>
        <filter val="6,5"/>
        <filter val="60"/>
        <filter val="60,2"/>
        <filter val="616,5"/>
        <filter val="65"/>
        <filter val="66,75"/>
        <filter val="67"/>
        <filter val="672"/>
        <filter val="68,55"/>
        <filter val="687,7"/>
        <filter val="7,4"/>
        <filter val="7,55"/>
        <filter val="7,65"/>
        <filter val="7,95"/>
        <filter val="73,65"/>
        <filter val="77,1"/>
        <filter val="80,8"/>
        <filter val="844,5"/>
        <filter val="85,25"/>
        <filter val="855"/>
        <filter val="87,15"/>
        <filter val="9,5"/>
        <filter val="9,55"/>
        <filter val="91,65"/>
        <filter val="981,65"/>
      </filters>
    </filterColumn>
  </autoFilter>
  <sortState xmlns:xlrd2="http://schemas.microsoft.com/office/spreadsheetml/2017/richdata2" ref="C4:N185">
    <sortCondition ref="C3:C185"/>
  </sortState>
  <tableColumns count="12">
    <tableColumn id="1" xr3:uid="{BAD22E60-9388-451A-8E84-70E4EEDB3F86}" name="Vare" dataDxfId="41"/>
    <tableColumn id="6" xr3:uid="{C6BC9FC9-11C5-4309-BE93-5A50150933EE}" name="Kolonne1" dataDxfId="40"/>
    <tableColumn id="8" xr3:uid="{C1B4145D-4C08-4652-A121-4C780A308427}" name="Stk i juli" dataDxfId="39"/>
    <tableColumn id="15" xr3:uid="{0BA24502-193C-4877-98FF-C9DE7A69ACA2}" name="stk pr dag" dataDxfId="38">
      <calculatedColumnFormula>+E4/+$F$2</calculatedColumnFormula>
    </tableColumn>
    <tableColumn id="16" xr3:uid="{8E6B8D94-EFC2-4D36-AEFF-5121852C0030}" name="stk 5 dage buffer " dataDxfId="37">
      <calculatedColumnFormula>+F4*$F$1</calculatedColumnFormula>
    </tableColumn>
    <tableColumn id="17" xr3:uid="{9B4A44A9-0C00-4F28-8924-1A2193FD83CB}" name="kategori" dataDxfId="36"/>
    <tableColumn id="18" xr3:uid="{15442770-2061-42A7-80EB-C0070F7BBC6D}" name="inkøbspris pr stk" dataDxfId="35" dataCellStyle="Komma"/>
    <tableColumn id="19" xr3:uid="{68900C99-7711-4517-ADE4-98E0857483BC}" name="Investering" dataDxfId="34">
      <calculatedColumnFormula>+Tabel24[[#This Row],[stk 5 dage buffer ]]*Tabel24[[#This Row],[inkøbspris pr stk]]</calculatedColumnFormula>
    </tableColumn>
    <tableColumn id="2" xr3:uid="{1309A736-3BAC-4A16-9C9A-2BCA838A15CB}" name="stk vægt" dataDxfId="33"/>
    <tableColumn id="3" xr3:uid="{D832AE21-4B69-4275-8C1F-DD5F262BB9AF}" name="stk pr container" dataDxfId="32"/>
    <tableColumn id="4" xr3:uid="{380DA339-3C5D-4268-9C6D-EFAD83E0E573}" name="antal containere" dataDxfId="31">
      <calculatedColumnFormula>Tabel24[[#This Row],[Investering]]/Tabel24[[#This Row],[stk pr container]]</calculatedColumnFormula>
    </tableColumn>
    <tableColumn id="5" xr3:uid="{BC237BA3-F4E2-40FE-9655-915FB30D9867}" name="plads behov m2" dataDxfId="30">
      <calculatedColumnFormula>Tabel24[[#This Row],[antal containere]]*N1</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79C9D4-1BF3-4613-BE25-9719D346FDFE}" name="Tabel2" displayName="Tabel2" ref="B3:T185" totalsRowShown="0" headerRowDxfId="29" dataDxfId="28" tableBorderDxfId="27">
  <autoFilter ref="B3:T185" xr:uid="{1079C9D4-1BF3-4613-BE25-9719D346FDFE}">
    <filterColumn colId="14">
      <filters>
        <filter val="0,05"/>
        <filter val="0,1"/>
        <filter val="0,15"/>
        <filter val="0,2"/>
        <filter val="0,25"/>
        <filter val="0,3"/>
        <filter val="0,35"/>
        <filter val="0,4"/>
        <filter val="0,45"/>
        <filter val="0,5"/>
        <filter val="0,55"/>
        <filter val="0,6"/>
        <filter val="0,65"/>
        <filter val="0,7"/>
        <filter val="0,75"/>
        <filter val="0,85"/>
        <filter val="0,9"/>
        <filter val="1"/>
        <filter val="1,1"/>
        <filter val="1,2"/>
        <filter val="1,35"/>
        <filter val="1,5"/>
        <filter val="1,8"/>
        <filter val="10"/>
        <filter val="10,1"/>
        <filter val="10,3"/>
        <filter val="10,75"/>
        <filter val="103"/>
        <filter val="107,7"/>
        <filter val="108"/>
        <filter val="11,3"/>
        <filter val="11,7"/>
        <filter val="11,85"/>
        <filter val="11,9"/>
        <filter val="1107,5"/>
        <filter val="118"/>
        <filter val="12,05"/>
        <filter val="1209,5"/>
        <filter val="125,05"/>
        <filter val="128"/>
        <filter val="13,35"/>
        <filter val="13,4"/>
        <filter val="13,55"/>
        <filter val="132"/>
        <filter val="14,1"/>
        <filter val="148,6"/>
        <filter val="15,8"/>
        <filter val="155"/>
        <filter val="157,7"/>
        <filter val="16"/>
        <filter val="16,7"/>
        <filter val="168"/>
        <filter val="17,35"/>
        <filter val="174,6"/>
        <filter val="18"/>
        <filter val="18,55"/>
        <filter val="18,75"/>
        <filter val="180,8"/>
        <filter val="2,15"/>
        <filter val="2,2"/>
        <filter val="2,25"/>
        <filter val="2,35"/>
        <filter val="2,5"/>
        <filter val="22,1"/>
        <filter val="23,2"/>
        <filter val="23,25"/>
        <filter val="24,2"/>
        <filter val="24,5"/>
        <filter val="248,1"/>
        <filter val="261,5"/>
        <filter val="269,1"/>
        <filter val="27,45"/>
        <filter val="27,55"/>
        <filter val="3,1"/>
        <filter val="3,2"/>
        <filter val="3,35"/>
        <filter val="3,8"/>
        <filter val="30"/>
        <filter val="30,55"/>
        <filter val="300,55"/>
        <filter val="31,05"/>
        <filter val="31,3"/>
        <filter val="31,5"/>
        <filter val="312"/>
        <filter val="32,5"/>
        <filter val="33,55"/>
        <filter val="36,65"/>
        <filter val="37,95"/>
        <filter val="4,25"/>
        <filter val="4,75"/>
        <filter val="4,8"/>
        <filter val="400,8"/>
        <filter val="43,55"/>
        <filter val="45,45"/>
        <filter val="46,7"/>
        <filter val="462,7"/>
        <filter val="463,45"/>
        <filter val="478,9"/>
        <filter val="49,95"/>
        <filter val="5,2"/>
        <filter val="5,4"/>
        <filter val="5,45"/>
        <filter val="5,75"/>
        <filter val="5,95"/>
        <filter val="51,45"/>
        <filter val="51,6"/>
        <filter val="532,7"/>
        <filter val="54,95"/>
        <filter val="55,1"/>
        <filter val="55,2"/>
        <filter val="597,05"/>
        <filter val="6"/>
        <filter val="6,05"/>
        <filter val="6,15"/>
        <filter val="6,5"/>
        <filter val="60"/>
        <filter val="60,2"/>
        <filter val="616,5"/>
        <filter val="65"/>
        <filter val="66,75"/>
        <filter val="67"/>
        <filter val="672"/>
        <filter val="68,55"/>
        <filter val="687,7"/>
        <filter val="7,4"/>
        <filter val="7,55"/>
        <filter val="7,65"/>
        <filter val="7,95"/>
        <filter val="73,65"/>
        <filter val="77,1"/>
        <filter val="80,8"/>
        <filter val="844,5"/>
        <filter val="85,25"/>
        <filter val="855"/>
        <filter val="87,15"/>
        <filter val="9,5"/>
        <filter val="9,55"/>
        <filter val="91,65"/>
        <filter val="981,65"/>
      </filters>
    </filterColumn>
  </autoFilter>
  <sortState xmlns:xlrd2="http://schemas.microsoft.com/office/spreadsheetml/2017/richdata2" ref="B4:R185">
    <sortCondition ref="R3:R185"/>
  </sortState>
  <tableColumns count="19">
    <tableColumn id="1" xr3:uid="{8B4E9D94-861D-4E64-AADA-12B98E51782C}" name="Vøra" dataDxfId="26"/>
    <tableColumn id="2" xr3:uid="{60640709-D58E-4197-8A0E-F89EC8F6764E}" name="Jan" dataDxfId="25"/>
    <tableColumn id="3" xr3:uid="{9CC73869-5256-4ABE-9BB4-322FC92F37C7}" name="Feb" dataDxfId="24"/>
    <tableColumn id="4" xr3:uid="{383218D5-0223-46E8-A42E-E691127885CD}" name="Mar" dataDxfId="23"/>
    <tableColumn id="5" xr3:uid="{246D3C85-80CC-4A39-83DF-D78B6DE9F760}" name="Apr" dataDxfId="22"/>
    <tableColumn id="6" xr3:uid="{BFBAD028-6524-405D-A180-B33FC501CF56}" name="Mai" dataDxfId="21"/>
    <tableColumn id="7" xr3:uid="{302F7325-7AE7-4FA5-9366-274DBFD4A0A0}" name="Jun" dataDxfId="20"/>
    <tableColumn id="8" xr3:uid="{7CB42D45-02A1-4F45-AE68-F406E561004C}" name="stk í juli " dataDxfId="19"/>
    <tableColumn id="9" xr3:uid="{A676BFD4-5834-4DF5-BEF8-CEA1A55157B3}" name="Aug" dataDxfId="18"/>
    <tableColumn id="10" xr3:uid="{A016B976-E9A5-45C9-850C-03EA34C2E9F0}" name="Sep" dataDxfId="17"/>
    <tableColumn id="11" xr3:uid="{75293E89-125F-44C7-ADA3-027E9D208541}" name="Okt" dataDxfId="16"/>
    <tableColumn id="12" xr3:uid="{750A2827-2933-4225-A850-2E81F3F0286C}" name="Nov" dataDxfId="15"/>
    <tableColumn id="13" xr3:uid="{58E14E2F-7F55-4C69-BD1C-521E26A93AA3}" name="Des" dataDxfId="14"/>
    <tableColumn id="14" xr3:uid="{D6411E02-9AAE-4920-B122-1B057486E101}" name="Alt Arid" dataDxfId="13"/>
    <tableColumn id="15" xr3:uid="{112B136B-C2E4-449A-89FD-31B53626BB36}" name="stk pr dag" dataDxfId="12">
      <calculatedColumnFormula>+I4/+$P$2</calculatedColumnFormula>
    </tableColumn>
    <tableColumn id="16" xr3:uid="{7CD0BEC6-2467-4C82-A43E-CE69172139A4}" name="stk 5 dagar buffara" dataDxfId="11">
      <calculatedColumnFormula>+P4*$Q$1</calculatedColumnFormula>
    </tableColumn>
    <tableColumn id="17" xr3:uid="{18186C35-0537-4BEC-AD5E-D33E1770E2C5}" name="kategori" dataDxfId="10"/>
    <tableColumn id="18" xr3:uid="{9DBA9247-6184-4172-9714-486A59124EFC}" name="inkøbspris pr stk" dataDxfId="9"/>
    <tableColumn id="19" xr3:uid="{AF6AA9F2-EB37-4D59-BBF8-2B32D6610955}" name="Investering" dataDxfId="8">
      <calculatedColumnFormula>+Tabel2[[#This Row],[stk 5 dagar buffara]]*Tabel2[[#This Row],[inkøbspris pr stk]]</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021A-9093-4C32-A412-00559FCF70E3}">
  <sheetPr>
    <pageSetUpPr fitToPage="1"/>
  </sheetPr>
  <dimension ref="A1:AE27"/>
  <sheetViews>
    <sheetView tabSelected="1" zoomScaleNormal="100" workbookViewId="0">
      <selection activeCell="F19" sqref="F19"/>
    </sheetView>
  </sheetViews>
  <sheetFormatPr defaultRowHeight="15" x14ac:dyDescent="0.25"/>
  <cols>
    <col min="1" max="1" width="29.85546875" customWidth="1"/>
    <col min="2" max="2" width="24.42578125" customWidth="1"/>
    <col min="3" max="4" width="16.140625" customWidth="1"/>
    <col min="5" max="6" width="18.28515625" style="127" customWidth="1"/>
    <col min="7" max="9" width="15.7109375" customWidth="1"/>
    <col min="10" max="10" width="15.7109375" style="77" customWidth="1"/>
    <col min="11" max="11" width="12.5703125" style="163" customWidth="1"/>
    <col min="12" max="20" width="15.7109375" customWidth="1"/>
    <col min="21" max="21" width="19.140625" customWidth="1"/>
    <col min="22" max="30" width="15.7109375" customWidth="1"/>
    <col min="31" max="31" width="47.42578125" customWidth="1"/>
    <col min="32" max="32" width="15.7109375" customWidth="1"/>
  </cols>
  <sheetData>
    <row r="1" spans="1:31" ht="39" x14ac:dyDescent="0.6">
      <c r="A1" s="261" t="s">
        <v>793</v>
      </c>
    </row>
    <row r="3" spans="1:31" x14ac:dyDescent="0.25">
      <c r="A3" s="253" t="s">
        <v>547</v>
      </c>
      <c r="B3" s="254">
        <v>45986</v>
      </c>
      <c r="C3" s="254" t="s">
        <v>778</v>
      </c>
    </row>
    <row r="4" spans="1:31" ht="26.25" x14ac:dyDescent="0.4">
      <c r="W4" s="267" t="s">
        <v>783</v>
      </c>
      <c r="X4" s="268"/>
      <c r="Y4" s="268"/>
      <c r="Z4" s="268"/>
      <c r="AA4" s="268"/>
      <c r="AB4" s="268"/>
      <c r="AC4" s="268"/>
      <c r="AD4" s="268"/>
      <c r="AE4" s="268"/>
    </row>
    <row r="5" spans="1:31" ht="135" x14ac:dyDescent="0.25">
      <c r="A5" s="96" t="s">
        <v>536</v>
      </c>
      <c r="B5" s="96" t="s">
        <v>702</v>
      </c>
      <c r="C5" s="96" t="s">
        <v>750</v>
      </c>
      <c r="D5" s="149" t="s">
        <v>801</v>
      </c>
      <c r="E5" s="96" t="s">
        <v>762</v>
      </c>
      <c r="F5" s="150" t="s">
        <v>519</v>
      </c>
      <c r="G5" s="149" t="s">
        <v>697</v>
      </c>
      <c r="H5" s="149" t="s">
        <v>698</v>
      </c>
      <c r="I5" s="180" t="s">
        <v>520</v>
      </c>
      <c r="J5" s="164" t="s">
        <v>529</v>
      </c>
      <c r="K5" s="150" t="s">
        <v>531</v>
      </c>
      <c r="L5" s="150" t="s">
        <v>521</v>
      </c>
      <c r="M5" s="96" t="s">
        <v>523</v>
      </c>
      <c r="N5" s="96" t="s">
        <v>522</v>
      </c>
      <c r="O5" s="96" t="s">
        <v>524</v>
      </c>
      <c r="P5" s="149" t="s">
        <v>752</v>
      </c>
      <c r="Q5" s="96" t="s">
        <v>748</v>
      </c>
      <c r="R5" s="149" t="s">
        <v>749</v>
      </c>
      <c r="S5" s="266" t="s">
        <v>797</v>
      </c>
      <c r="T5" s="252" t="s">
        <v>532</v>
      </c>
      <c r="U5" s="265" t="s">
        <v>795</v>
      </c>
      <c r="V5" s="149" t="s">
        <v>784</v>
      </c>
      <c r="W5" s="149" t="s">
        <v>786</v>
      </c>
      <c r="X5" s="149" t="s">
        <v>787</v>
      </c>
      <c r="Y5" s="149" t="s">
        <v>788</v>
      </c>
      <c r="Z5" s="149" t="s">
        <v>789</v>
      </c>
      <c r="AA5" s="149" t="s">
        <v>785</v>
      </c>
      <c r="AB5" s="149" t="s">
        <v>791</v>
      </c>
      <c r="AC5" s="262" t="s">
        <v>798</v>
      </c>
      <c r="AD5" s="262" t="s">
        <v>796</v>
      </c>
      <c r="AE5" s="259" t="s">
        <v>792</v>
      </c>
    </row>
    <row r="6" spans="1:31" ht="90" x14ac:dyDescent="0.25">
      <c r="A6" s="151" t="s">
        <v>780</v>
      </c>
      <c r="B6" s="186"/>
      <c r="C6" s="183" t="s">
        <v>746</v>
      </c>
      <c r="D6" s="275" t="s">
        <v>803</v>
      </c>
      <c r="E6" s="247">
        <v>2700</v>
      </c>
      <c r="F6" s="151" t="s">
        <v>562</v>
      </c>
      <c r="G6" s="161">
        <v>0.5</v>
      </c>
      <c r="H6" s="161">
        <v>0.7</v>
      </c>
      <c r="I6" s="181">
        <v>680</v>
      </c>
      <c r="J6" s="165">
        <f>Tabel157610[[#This Row],[Vægt (GSM)]]/1000*Tabel157610[[#This Row],[Leveret bredde (før vask)]]*Tabel157610[[#This Row],[Leveret længde (før vask)]]</f>
        <v>0.23799999999999999</v>
      </c>
      <c r="K6" s="151" t="s">
        <v>712</v>
      </c>
      <c r="L6" s="151" t="s">
        <v>525</v>
      </c>
      <c r="M6" s="151" t="s">
        <v>647</v>
      </c>
      <c r="N6" s="151" t="s">
        <v>636</v>
      </c>
      <c r="O6" s="151" t="s">
        <v>751</v>
      </c>
      <c r="P6" s="249">
        <v>0.06</v>
      </c>
      <c r="Q6" s="248"/>
      <c r="R6" s="153" t="s">
        <v>763</v>
      </c>
      <c r="S6" s="248"/>
      <c r="T6" s="181" t="s">
        <v>463</v>
      </c>
      <c r="U6" s="264"/>
      <c r="V6" s="248"/>
      <c r="W6" s="248"/>
      <c r="X6" s="248"/>
      <c r="Y6" s="248"/>
      <c r="Z6" s="255"/>
      <c r="AA6" s="255"/>
      <c r="AB6" s="255"/>
      <c r="AC6" s="256"/>
      <c r="AD6" s="260"/>
      <c r="AE6" s="260"/>
    </row>
    <row r="7" spans="1:31" ht="90" x14ac:dyDescent="0.25">
      <c r="A7" s="243" t="s">
        <v>779</v>
      </c>
      <c r="B7" s="231" t="s">
        <v>776</v>
      </c>
      <c r="C7" s="183" t="s">
        <v>746</v>
      </c>
      <c r="D7" s="275" t="s">
        <v>803</v>
      </c>
      <c r="E7" s="247">
        <v>6500</v>
      </c>
      <c r="F7" s="151" t="s">
        <v>562</v>
      </c>
      <c r="G7" s="162">
        <v>0.5</v>
      </c>
      <c r="H7" s="162">
        <v>1</v>
      </c>
      <c r="I7" s="181">
        <v>480</v>
      </c>
      <c r="J7" s="165">
        <f>Tabel157610[[#This Row],[Vægt (GSM)]]/1000*Tabel157610[[#This Row],[Leveret bredde (før vask)]]*Tabel157610[[#This Row],[Leveret længde (før vask)]]</f>
        <v>0.24</v>
      </c>
      <c r="K7" s="151" t="s">
        <v>619</v>
      </c>
      <c r="L7" s="151" t="s">
        <v>525</v>
      </c>
      <c r="M7" s="152" t="s">
        <v>622</v>
      </c>
      <c r="N7" s="152" t="s">
        <v>623</v>
      </c>
      <c r="O7" s="151" t="s">
        <v>756</v>
      </c>
      <c r="P7" s="250">
        <v>0.1</v>
      </c>
      <c r="Q7" s="248"/>
      <c r="R7" s="153" t="s">
        <v>763</v>
      </c>
      <c r="S7" s="152" t="s">
        <v>743</v>
      </c>
      <c r="T7" s="181" t="s">
        <v>463</v>
      </c>
      <c r="U7" s="264"/>
      <c r="V7" s="248"/>
      <c r="W7" s="248"/>
      <c r="X7" s="248"/>
      <c r="Y7" s="248"/>
      <c r="Z7" s="255"/>
      <c r="AA7" s="256"/>
      <c r="AB7" s="256"/>
      <c r="AC7" s="256"/>
      <c r="AD7" s="260"/>
      <c r="AE7" s="260"/>
    </row>
    <row r="8" spans="1:31" ht="90" x14ac:dyDescent="0.25">
      <c r="A8" s="243" t="s">
        <v>781</v>
      </c>
      <c r="B8" s="231" t="s">
        <v>776</v>
      </c>
      <c r="C8" s="183" t="s">
        <v>746</v>
      </c>
      <c r="D8" s="275" t="s">
        <v>803</v>
      </c>
      <c r="E8" s="247">
        <v>3000</v>
      </c>
      <c r="F8" s="151" t="s">
        <v>562</v>
      </c>
      <c r="G8" s="162">
        <v>0.7</v>
      </c>
      <c r="H8" s="162">
        <v>1.4</v>
      </c>
      <c r="I8" s="181">
        <v>480</v>
      </c>
      <c r="J8" s="165">
        <f>Tabel157610[[#This Row],[Vægt (GSM)]]/1000*Tabel157610[[#This Row],[Leveret bredde (før vask)]]*Tabel157610[[#This Row],[Leveret længde (før vask)]]</f>
        <v>0.47039999999999993</v>
      </c>
      <c r="K8" s="151" t="s">
        <v>619</v>
      </c>
      <c r="L8" s="151" t="s">
        <v>525</v>
      </c>
      <c r="M8" s="152" t="s">
        <v>622</v>
      </c>
      <c r="N8" s="152" t="s">
        <v>623</v>
      </c>
      <c r="O8" s="151" t="s">
        <v>756</v>
      </c>
      <c r="P8" s="250">
        <v>0.1</v>
      </c>
      <c r="Q8" s="248"/>
      <c r="R8" s="153" t="s">
        <v>763</v>
      </c>
      <c r="S8" s="152" t="s">
        <v>743</v>
      </c>
      <c r="T8" s="181" t="s">
        <v>463</v>
      </c>
      <c r="U8" s="264"/>
      <c r="V8" s="248"/>
      <c r="W8" s="248"/>
      <c r="X8" s="248"/>
      <c r="Y8" s="248"/>
      <c r="Z8" s="255"/>
      <c r="AA8" s="256"/>
      <c r="AB8" s="256"/>
      <c r="AC8" s="256"/>
      <c r="AD8" s="260"/>
      <c r="AE8" s="260"/>
    </row>
    <row r="9" spans="1:31" ht="90" x14ac:dyDescent="0.25">
      <c r="A9" s="243" t="s">
        <v>782</v>
      </c>
      <c r="B9" s="231" t="s">
        <v>776</v>
      </c>
      <c r="C9" s="183" t="s">
        <v>746</v>
      </c>
      <c r="D9" s="275" t="s">
        <v>803</v>
      </c>
      <c r="E9" s="247">
        <v>3200</v>
      </c>
      <c r="F9" s="151" t="s">
        <v>562</v>
      </c>
      <c r="G9" s="162">
        <v>1</v>
      </c>
      <c r="H9" s="162">
        <v>1.5</v>
      </c>
      <c r="I9" s="181">
        <v>480</v>
      </c>
      <c r="J9" s="165">
        <f>Tabel157610[[#This Row],[Vægt (GSM)]]/1000*Tabel157610[[#This Row],[Leveret bredde (før vask)]]*Tabel157610[[#This Row],[Leveret længde (før vask)]]</f>
        <v>0.72</v>
      </c>
      <c r="K9" s="151" t="s">
        <v>619</v>
      </c>
      <c r="L9" s="151" t="s">
        <v>525</v>
      </c>
      <c r="M9" s="152" t="s">
        <v>622</v>
      </c>
      <c r="N9" s="152" t="s">
        <v>623</v>
      </c>
      <c r="O9" s="151" t="s">
        <v>756</v>
      </c>
      <c r="P9" s="250">
        <v>0.1</v>
      </c>
      <c r="Q9" s="248"/>
      <c r="R9" s="153" t="s">
        <v>763</v>
      </c>
      <c r="S9" s="152" t="s">
        <v>743</v>
      </c>
      <c r="T9" s="181" t="s">
        <v>463</v>
      </c>
      <c r="U9" s="264"/>
      <c r="V9" s="248"/>
      <c r="W9" s="248"/>
      <c r="X9" s="248"/>
      <c r="Y9" s="248"/>
      <c r="Z9" s="255"/>
      <c r="AA9" s="256"/>
      <c r="AB9" s="256"/>
      <c r="AC9" s="256"/>
      <c r="AD9" s="260"/>
      <c r="AE9" s="260"/>
    </row>
    <row r="10" spans="1:31" ht="75" x14ac:dyDescent="0.25">
      <c r="A10" s="230" t="s">
        <v>542</v>
      </c>
      <c r="B10" s="231" t="s">
        <v>776</v>
      </c>
      <c r="C10" s="183" t="s">
        <v>746</v>
      </c>
      <c r="D10" s="275" t="s">
        <v>803</v>
      </c>
      <c r="E10" s="247">
        <v>9300</v>
      </c>
      <c r="F10" s="151" t="s">
        <v>562</v>
      </c>
      <c r="G10" s="162">
        <v>0.3</v>
      </c>
      <c r="H10" s="162">
        <v>0.3</v>
      </c>
      <c r="I10" s="181">
        <v>360</v>
      </c>
      <c r="J10" s="165">
        <f>Tabel157610[[#This Row],[Vægt (GSM)]]/1000*Tabel157610[[#This Row],[Leveret bredde (før vask)]]*Tabel157610[[#This Row],[Leveret længde (før vask)]]</f>
        <v>3.2399999999999998E-2</v>
      </c>
      <c r="K10" s="152" t="s">
        <v>649</v>
      </c>
      <c r="L10" s="151" t="s">
        <v>525</v>
      </c>
      <c r="M10" s="152" t="s">
        <v>650</v>
      </c>
      <c r="N10" s="152" t="s">
        <v>636</v>
      </c>
      <c r="O10" s="151" t="s">
        <v>755</v>
      </c>
      <c r="P10" s="250">
        <v>0.1</v>
      </c>
      <c r="Q10" s="248"/>
      <c r="R10" s="153" t="s">
        <v>763</v>
      </c>
      <c r="S10" s="248"/>
      <c r="T10" s="251" t="s">
        <v>506</v>
      </c>
      <c r="U10" s="248"/>
      <c r="V10" s="248"/>
      <c r="W10" s="256"/>
      <c r="X10" s="256"/>
      <c r="Y10" s="256"/>
      <c r="Z10" s="255"/>
      <c r="AA10" s="258"/>
      <c r="AB10" s="258"/>
      <c r="AC10" s="256"/>
      <c r="AD10" s="260"/>
      <c r="AE10" s="260"/>
    </row>
    <row r="11" spans="1:31" ht="105" x14ac:dyDescent="0.25">
      <c r="A11" s="231" t="s">
        <v>704</v>
      </c>
      <c r="B11" s="231" t="s">
        <v>764</v>
      </c>
      <c r="C11" s="183" t="s">
        <v>746</v>
      </c>
      <c r="D11" s="275" t="s">
        <v>802</v>
      </c>
      <c r="E11" s="247">
        <v>5500</v>
      </c>
      <c r="F11" s="151" t="s">
        <v>562</v>
      </c>
      <c r="G11" s="162">
        <v>1.4</v>
      </c>
      <c r="H11" s="162">
        <v>2.2000000000000002</v>
      </c>
      <c r="I11" s="181">
        <v>135</v>
      </c>
      <c r="J11" s="165">
        <f>Tabel157610[[#This Row],[Vægt (GSM)]]/1000*Tabel157610[[#This Row],[Leveret bredde (før vask)]]*Tabel157610[[#This Row],[Leveret længde (før vask)]]</f>
        <v>0.41580000000000006</v>
      </c>
      <c r="K11" s="151" t="s">
        <v>570</v>
      </c>
      <c r="L11" s="151" t="s">
        <v>572</v>
      </c>
      <c r="M11" s="151" t="s">
        <v>758</v>
      </c>
      <c r="N11" s="151" t="s">
        <v>757</v>
      </c>
      <c r="O11" s="248"/>
      <c r="P11" s="250">
        <v>0.1</v>
      </c>
      <c r="Q11" s="248"/>
      <c r="R11" s="151" t="s">
        <v>765</v>
      </c>
      <c r="S11" s="248"/>
      <c r="T11" s="181" t="s">
        <v>463</v>
      </c>
      <c r="U11" s="264"/>
      <c r="V11" s="248"/>
      <c r="W11" s="256"/>
      <c r="X11" s="256"/>
      <c r="Y11" s="256"/>
      <c r="Z11" s="256"/>
      <c r="AA11" s="256"/>
      <c r="AB11" s="256"/>
      <c r="AC11" s="256"/>
      <c r="AD11" s="260"/>
      <c r="AE11" s="260"/>
    </row>
    <row r="12" spans="1:31" ht="90" x14ac:dyDescent="0.25">
      <c r="A12" s="230" t="s">
        <v>543</v>
      </c>
      <c r="B12" s="231" t="s">
        <v>776</v>
      </c>
      <c r="C12" s="183" t="s">
        <v>746</v>
      </c>
      <c r="D12" s="275" t="s">
        <v>802</v>
      </c>
      <c r="E12" s="247">
        <v>4800</v>
      </c>
      <c r="F12" s="151" t="s">
        <v>562</v>
      </c>
      <c r="G12" s="162">
        <v>1.6</v>
      </c>
      <c r="H12" s="162">
        <v>2.9</v>
      </c>
      <c r="I12" s="181">
        <v>140</v>
      </c>
      <c r="J12" s="165">
        <f>Tabel157610[[#This Row],[Vægt (GSM)]]/1000*Tabel157610[[#This Row],[Leveret bredde (før vask)]]*Tabel157610[[#This Row],[Leveret længde (før vask)]]</f>
        <v>0.64960000000000007</v>
      </c>
      <c r="K12" s="151" t="s">
        <v>561</v>
      </c>
      <c r="L12" s="179" t="s">
        <v>657</v>
      </c>
      <c r="M12" s="151" t="s">
        <v>759</v>
      </c>
      <c r="N12" s="151" t="s">
        <v>759</v>
      </c>
      <c r="O12" s="248"/>
      <c r="P12" s="250">
        <v>0.12</v>
      </c>
      <c r="Q12" s="248"/>
      <c r="R12" s="151" t="s">
        <v>766</v>
      </c>
      <c r="S12" s="248"/>
      <c r="T12" s="181" t="s">
        <v>463</v>
      </c>
      <c r="U12" s="264"/>
      <c r="V12" s="248"/>
      <c r="W12" s="256"/>
      <c r="X12" s="256"/>
      <c r="Y12" s="256"/>
      <c r="Z12" s="256"/>
      <c r="AA12" s="256"/>
      <c r="AB12" s="256"/>
      <c r="AC12" s="256"/>
      <c r="AD12" s="260"/>
      <c r="AE12" s="260"/>
    </row>
    <row r="13" spans="1:31" ht="90" x14ac:dyDescent="0.25">
      <c r="A13" s="231" t="s">
        <v>659</v>
      </c>
      <c r="B13" s="231" t="s">
        <v>776</v>
      </c>
      <c r="C13" s="183" t="s">
        <v>746</v>
      </c>
      <c r="D13" s="275" t="s">
        <v>802</v>
      </c>
      <c r="E13" s="247">
        <v>650</v>
      </c>
      <c r="F13" s="151" t="s">
        <v>562</v>
      </c>
      <c r="G13" s="162">
        <v>2.8</v>
      </c>
      <c r="H13" s="162">
        <v>3</v>
      </c>
      <c r="I13" s="181">
        <v>140</v>
      </c>
      <c r="J13" s="165">
        <f>Tabel157610[[#This Row],[Vægt (GSM)]]/1000*Tabel157610[[#This Row],[Leveret bredde (før vask)]]*Tabel157610[[#This Row],[Leveret længde (før vask)]]</f>
        <v>1.1760000000000002</v>
      </c>
      <c r="K13" s="151" t="s">
        <v>561</v>
      </c>
      <c r="L13" s="179" t="s">
        <v>657</v>
      </c>
      <c r="M13" s="151" t="s">
        <v>759</v>
      </c>
      <c r="N13" s="151" t="s">
        <v>759</v>
      </c>
      <c r="O13" s="248"/>
      <c r="P13" s="250">
        <v>0.12</v>
      </c>
      <c r="Q13" s="248"/>
      <c r="R13" s="151" t="s">
        <v>767</v>
      </c>
      <c r="S13" s="248"/>
      <c r="T13" s="181" t="s">
        <v>463</v>
      </c>
      <c r="U13" s="264"/>
      <c r="V13" s="248"/>
      <c r="W13" s="255"/>
      <c r="X13" s="255"/>
      <c r="Y13" s="255"/>
      <c r="Z13" s="255"/>
      <c r="AA13" s="256"/>
      <c r="AB13" s="256"/>
      <c r="AC13" s="256"/>
      <c r="AD13" s="260"/>
      <c r="AE13" s="260"/>
    </row>
    <row r="14" spans="1:31" ht="90" x14ac:dyDescent="0.25">
      <c r="A14" s="231" t="s">
        <v>658</v>
      </c>
      <c r="B14" s="231" t="s">
        <v>776</v>
      </c>
      <c r="C14" s="183" t="s">
        <v>746</v>
      </c>
      <c r="D14" s="275" t="s">
        <v>802</v>
      </c>
      <c r="E14" s="247">
        <v>850</v>
      </c>
      <c r="F14" s="151" t="s">
        <v>562</v>
      </c>
      <c r="G14" s="162">
        <v>2.2999999999999998</v>
      </c>
      <c r="H14" s="162">
        <v>3</v>
      </c>
      <c r="I14" s="181">
        <v>140</v>
      </c>
      <c r="J14" s="165">
        <f>Tabel157610[[#This Row],[Vægt (GSM)]]/1000*Tabel157610[[#This Row],[Leveret bredde (før vask)]]*Tabel157610[[#This Row],[Leveret længde (før vask)]]</f>
        <v>0.96599999999999997</v>
      </c>
      <c r="K14" s="151" t="s">
        <v>561</v>
      </c>
      <c r="L14" s="179" t="s">
        <v>657</v>
      </c>
      <c r="M14" s="151" t="s">
        <v>759</v>
      </c>
      <c r="N14" s="151" t="s">
        <v>759</v>
      </c>
      <c r="O14" s="248"/>
      <c r="P14" s="250">
        <v>0.12</v>
      </c>
      <c r="Q14" s="248"/>
      <c r="R14" s="151" t="s">
        <v>768</v>
      </c>
      <c r="S14" s="248"/>
      <c r="T14" s="181" t="s">
        <v>463</v>
      </c>
      <c r="U14" s="264"/>
      <c r="V14" s="248"/>
      <c r="W14" s="255"/>
      <c r="X14" s="255"/>
      <c r="Y14" s="255"/>
      <c r="Z14" s="255"/>
      <c r="AA14" s="256"/>
      <c r="AB14" s="256"/>
      <c r="AC14" s="256"/>
      <c r="AD14" s="260"/>
      <c r="AE14" s="260"/>
    </row>
    <row r="15" spans="1:31" ht="90" x14ac:dyDescent="0.25">
      <c r="A15" s="230" t="s">
        <v>544</v>
      </c>
      <c r="B15" s="231" t="s">
        <v>764</v>
      </c>
      <c r="C15" s="183" t="s">
        <v>746</v>
      </c>
      <c r="D15" s="275" t="s">
        <v>802</v>
      </c>
      <c r="E15" s="247">
        <v>8700</v>
      </c>
      <c r="F15" s="151" t="s">
        <v>562</v>
      </c>
      <c r="G15" s="162">
        <v>0.65</v>
      </c>
      <c r="H15" s="162">
        <v>0.75</v>
      </c>
      <c r="I15" s="181">
        <v>135</v>
      </c>
      <c r="J15" s="165">
        <f>Tabel157610[[#This Row],[Vægt (GSM)]]/1000*Tabel157610[[#This Row],[Leveret bredde (før vask)]]*Tabel157610[[#This Row],[Leveret længde (før vask)]]</f>
        <v>6.581250000000001E-2</v>
      </c>
      <c r="K15" s="151" t="s">
        <v>570</v>
      </c>
      <c r="L15" s="151" t="s">
        <v>572</v>
      </c>
      <c r="M15" s="151" t="s">
        <v>758</v>
      </c>
      <c r="N15" s="151" t="s">
        <v>757</v>
      </c>
      <c r="O15" s="248"/>
      <c r="P15" s="250">
        <v>0.1</v>
      </c>
      <c r="Q15" s="152" t="s">
        <v>747</v>
      </c>
      <c r="R15" s="151" t="s">
        <v>769</v>
      </c>
      <c r="S15" s="248"/>
      <c r="T15" s="181" t="s">
        <v>463</v>
      </c>
      <c r="U15" s="264"/>
      <c r="V15" s="248"/>
      <c r="W15" s="255"/>
      <c r="X15" s="255"/>
      <c r="Y15" s="255"/>
      <c r="Z15" s="255"/>
      <c r="AA15" s="256"/>
      <c r="AB15" s="256"/>
      <c r="AC15" s="256"/>
      <c r="AD15" s="260"/>
      <c r="AE15" s="260"/>
    </row>
    <row r="16" spans="1:31" ht="90" x14ac:dyDescent="0.25">
      <c r="A16" s="230" t="s">
        <v>754</v>
      </c>
      <c r="B16" s="230" t="s">
        <v>770</v>
      </c>
      <c r="C16" s="183" t="s">
        <v>746</v>
      </c>
      <c r="D16" s="275" t="s">
        <v>802</v>
      </c>
      <c r="E16" s="247">
        <v>300</v>
      </c>
      <c r="F16" s="151" t="s">
        <v>562</v>
      </c>
      <c r="G16" s="162">
        <v>2.9</v>
      </c>
      <c r="H16" s="162">
        <v>2.6</v>
      </c>
      <c r="I16" s="181">
        <v>135</v>
      </c>
      <c r="J16" s="165">
        <f>Tabel157610[[#This Row],[Vægt (GSM)]]/1000*Tabel157610[[#This Row],[Leveret bredde (før vask)]]*Tabel157610[[#This Row],[Leveret længde (før vask)]]</f>
        <v>1.0179</v>
      </c>
      <c r="K16" s="151" t="s">
        <v>570</v>
      </c>
      <c r="L16" s="151" t="s">
        <v>572</v>
      </c>
      <c r="M16" s="151" t="s">
        <v>758</v>
      </c>
      <c r="N16" s="151" t="s">
        <v>757</v>
      </c>
      <c r="O16" s="248"/>
      <c r="P16" s="250">
        <v>0.1</v>
      </c>
      <c r="Q16" s="152" t="s">
        <v>747</v>
      </c>
      <c r="R16" s="151" t="s">
        <v>771</v>
      </c>
      <c r="S16" s="248"/>
      <c r="T16" s="181" t="s">
        <v>463</v>
      </c>
      <c r="U16" s="264"/>
      <c r="V16" s="248"/>
      <c r="W16" s="255"/>
      <c r="X16" s="255"/>
      <c r="Y16" s="255"/>
      <c r="Z16" s="255"/>
      <c r="AA16" s="256"/>
      <c r="AB16" s="256"/>
      <c r="AC16" s="256"/>
      <c r="AD16" s="260"/>
      <c r="AE16" s="260"/>
    </row>
    <row r="17" spans="1:31" ht="90" x14ac:dyDescent="0.25">
      <c r="A17" s="230" t="s">
        <v>744</v>
      </c>
      <c r="B17" s="230" t="s">
        <v>770</v>
      </c>
      <c r="C17" s="183" t="s">
        <v>746</v>
      </c>
      <c r="D17" s="275" t="s">
        <v>802</v>
      </c>
      <c r="E17" s="247">
        <v>300</v>
      </c>
      <c r="F17" s="151" t="s">
        <v>562</v>
      </c>
      <c r="G17" s="162">
        <v>2.4</v>
      </c>
      <c r="H17" s="162">
        <v>2.6</v>
      </c>
      <c r="I17" s="181">
        <v>135</v>
      </c>
      <c r="J17" s="165">
        <f>Tabel157610[[#This Row],[Vægt (GSM)]]/1000*Tabel157610[[#This Row],[Leveret bredde (før vask)]]*Tabel157610[[#This Row],[Leveret længde (før vask)]]</f>
        <v>0.84240000000000004</v>
      </c>
      <c r="K17" s="151" t="s">
        <v>570</v>
      </c>
      <c r="L17" s="151" t="s">
        <v>572</v>
      </c>
      <c r="M17" s="151" t="s">
        <v>758</v>
      </c>
      <c r="N17" s="151" t="s">
        <v>757</v>
      </c>
      <c r="O17" s="248"/>
      <c r="P17" s="250">
        <v>0.1</v>
      </c>
      <c r="Q17" s="152" t="s">
        <v>747</v>
      </c>
      <c r="R17" s="151" t="s">
        <v>772</v>
      </c>
      <c r="S17" s="248"/>
      <c r="T17" s="181" t="s">
        <v>463</v>
      </c>
      <c r="U17" s="264"/>
      <c r="V17" s="248"/>
      <c r="W17" s="255"/>
      <c r="X17" s="255"/>
      <c r="Y17" s="255"/>
      <c r="Z17" s="255"/>
      <c r="AA17" s="256"/>
      <c r="AB17" s="256"/>
      <c r="AC17" s="256"/>
      <c r="AD17" s="260"/>
      <c r="AE17" s="260"/>
    </row>
    <row r="18" spans="1:31" ht="90" x14ac:dyDescent="0.25">
      <c r="A18" s="230" t="s">
        <v>745</v>
      </c>
      <c r="B18" s="230" t="s">
        <v>770</v>
      </c>
      <c r="C18" s="183" t="s">
        <v>746</v>
      </c>
      <c r="D18" s="275" t="s">
        <v>802</v>
      </c>
      <c r="E18" s="247">
        <v>300</v>
      </c>
      <c r="F18" s="151" t="s">
        <v>562</v>
      </c>
      <c r="G18" s="162">
        <v>2.1</v>
      </c>
      <c r="H18" s="162">
        <v>2.6</v>
      </c>
      <c r="I18" s="181">
        <v>135</v>
      </c>
      <c r="J18" s="165">
        <f>Tabel157610[[#This Row],[Vægt (GSM)]]/1000*Tabel157610[[#This Row],[Leveret bredde (før vask)]]*Tabel157610[[#This Row],[Leveret længde (før vask)]]</f>
        <v>0.73710000000000009</v>
      </c>
      <c r="K18" s="151" t="s">
        <v>570</v>
      </c>
      <c r="L18" s="151" t="s">
        <v>572</v>
      </c>
      <c r="M18" s="151" t="s">
        <v>758</v>
      </c>
      <c r="N18" s="151" t="s">
        <v>757</v>
      </c>
      <c r="O18" s="248"/>
      <c r="P18" s="250">
        <v>0.1</v>
      </c>
      <c r="Q18" s="152" t="s">
        <v>747</v>
      </c>
      <c r="R18" s="151" t="s">
        <v>773</v>
      </c>
      <c r="S18" s="248"/>
      <c r="T18" s="181" t="s">
        <v>463</v>
      </c>
      <c r="U18" s="264"/>
      <c r="V18" s="248"/>
      <c r="W18" s="255"/>
      <c r="X18" s="255"/>
      <c r="Y18" s="255"/>
      <c r="Z18" s="255"/>
      <c r="AA18" s="256"/>
      <c r="AB18" s="256"/>
      <c r="AC18" s="256"/>
      <c r="AD18" s="260"/>
      <c r="AE18" s="260"/>
    </row>
    <row r="19" spans="1:31" ht="105" x14ac:dyDescent="0.25">
      <c r="A19" s="186" t="s">
        <v>654</v>
      </c>
      <c r="B19" s="186" t="s">
        <v>774</v>
      </c>
      <c r="C19" s="183" t="s">
        <v>746</v>
      </c>
      <c r="D19" s="275" t="s">
        <v>802</v>
      </c>
      <c r="E19" s="247">
        <v>300</v>
      </c>
      <c r="F19" s="151" t="s">
        <v>562</v>
      </c>
      <c r="G19" s="161">
        <v>1</v>
      </c>
      <c r="H19" s="161">
        <v>1.05</v>
      </c>
      <c r="I19" s="181">
        <v>220</v>
      </c>
      <c r="J19" s="165">
        <f>Tabel157610[[#This Row],[Vægt (GSM)]]/1000*Tabel157610[[#This Row],[Leveret bredde (før vask)]]*Tabel157610[[#This Row],[Leveret længde (før vask)]]</f>
        <v>0.23100000000000001</v>
      </c>
      <c r="K19" s="151" t="s">
        <v>714</v>
      </c>
      <c r="L19" s="151" t="s">
        <v>527</v>
      </c>
      <c r="M19" s="151" t="s">
        <v>799</v>
      </c>
      <c r="N19" s="151" t="s">
        <v>804</v>
      </c>
      <c r="O19" s="248"/>
      <c r="P19" s="250">
        <v>0.08</v>
      </c>
      <c r="Q19" s="248"/>
      <c r="R19" s="152" t="s">
        <v>775</v>
      </c>
      <c r="S19" s="248"/>
      <c r="T19" s="181" t="s">
        <v>463</v>
      </c>
      <c r="U19" s="264"/>
      <c r="V19" s="156" t="s">
        <v>731</v>
      </c>
      <c r="W19" s="255"/>
      <c r="X19" s="255"/>
      <c r="Y19" s="255"/>
      <c r="Z19" s="255"/>
      <c r="AA19" s="256"/>
      <c r="AB19" s="256"/>
      <c r="AC19" s="256"/>
      <c r="AD19" s="260"/>
      <c r="AE19" s="260"/>
    </row>
    <row r="20" spans="1:31" ht="105" x14ac:dyDescent="0.25">
      <c r="A20" s="246" t="s">
        <v>655</v>
      </c>
      <c r="B20" s="246" t="s">
        <v>777</v>
      </c>
      <c r="C20" s="183" t="s">
        <v>746</v>
      </c>
      <c r="D20" s="275" t="s">
        <v>802</v>
      </c>
      <c r="E20" s="247">
        <v>800</v>
      </c>
      <c r="F20" s="151" t="s">
        <v>562</v>
      </c>
      <c r="G20" s="162">
        <v>1.4</v>
      </c>
      <c r="H20" s="162">
        <v>2.1</v>
      </c>
      <c r="I20" s="181">
        <v>220</v>
      </c>
      <c r="J20" s="165">
        <f>Tabel157610[[#This Row],[Vægt (GSM)]]/1000*Tabel157610[[#This Row],[Leveret bredde (før vask)]]*Tabel157610[[#This Row],[Leveret længde (før vask)]]</f>
        <v>0.64680000000000004</v>
      </c>
      <c r="K20" s="151" t="s">
        <v>714</v>
      </c>
      <c r="L20" s="151" t="s">
        <v>527</v>
      </c>
      <c r="M20" s="151" t="s">
        <v>800</v>
      </c>
      <c r="N20" s="151" t="s">
        <v>804</v>
      </c>
      <c r="O20" s="248"/>
      <c r="P20" s="250">
        <v>0.08</v>
      </c>
      <c r="Q20" s="248"/>
      <c r="R20" s="152" t="s">
        <v>775</v>
      </c>
      <c r="S20" s="248"/>
      <c r="T20" s="181" t="s">
        <v>463</v>
      </c>
      <c r="U20" s="264"/>
      <c r="V20" s="153" t="s">
        <v>753</v>
      </c>
      <c r="W20" s="257"/>
      <c r="X20" s="257"/>
      <c r="Y20" s="257"/>
      <c r="Z20" s="255"/>
      <c r="AA20" s="256"/>
      <c r="AB20" s="256"/>
      <c r="AC20" s="256"/>
      <c r="AD20" s="260"/>
      <c r="AE20" s="260"/>
    </row>
    <row r="21" spans="1:31" ht="90" x14ac:dyDescent="0.25">
      <c r="A21" s="151" t="s">
        <v>733</v>
      </c>
      <c r="B21" s="151"/>
      <c r="C21" s="183" t="s">
        <v>746</v>
      </c>
      <c r="D21" s="275" t="s">
        <v>802</v>
      </c>
      <c r="E21" s="247">
        <v>400</v>
      </c>
      <c r="F21" s="151" t="s">
        <v>562</v>
      </c>
      <c r="G21" s="263">
        <v>2</v>
      </c>
      <c r="H21" s="263">
        <v>2.1</v>
      </c>
      <c r="I21" s="181">
        <v>215</v>
      </c>
      <c r="J21" s="165">
        <f>Tabel157610[[#This Row],[Vægt (GSM)]]/1000*Tabel157610[[#This Row],[Leveret bredde (før vask)]]*Tabel157610[[#This Row],[Leveret længde (før vask)]]</f>
        <v>0.90300000000000002</v>
      </c>
      <c r="K21" s="151" t="s">
        <v>713</v>
      </c>
      <c r="L21" s="151" t="s">
        <v>606</v>
      </c>
      <c r="M21" s="151" t="s">
        <v>761</v>
      </c>
      <c r="N21" s="151" t="s">
        <v>761</v>
      </c>
      <c r="O21" s="248"/>
      <c r="P21" s="250">
        <v>0.08</v>
      </c>
      <c r="Q21" s="248"/>
      <c r="R21" s="152" t="s">
        <v>790</v>
      </c>
      <c r="S21" s="248"/>
      <c r="T21" s="181" t="s">
        <v>463</v>
      </c>
      <c r="U21" s="264"/>
      <c r="V21" s="153" t="s">
        <v>737</v>
      </c>
      <c r="W21" s="257"/>
      <c r="X21" s="257"/>
      <c r="Y21" s="257"/>
      <c r="Z21" s="255"/>
      <c r="AA21" s="256"/>
      <c r="AB21" s="256"/>
      <c r="AC21" s="256"/>
      <c r="AD21" s="260"/>
      <c r="AE21" s="260"/>
    </row>
    <row r="22" spans="1:31" ht="90" x14ac:dyDescent="0.25">
      <c r="A22" s="242" t="s">
        <v>794</v>
      </c>
      <c r="B22" s="242"/>
      <c r="C22" s="183" t="s">
        <v>746</v>
      </c>
      <c r="D22" s="275" t="s">
        <v>802</v>
      </c>
      <c r="E22" s="247">
        <v>150</v>
      </c>
      <c r="F22" s="151" t="s">
        <v>562</v>
      </c>
      <c r="G22" s="263">
        <v>2.2000000000000002</v>
      </c>
      <c r="H22" s="263">
        <v>2.2999999999999998</v>
      </c>
      <c r="I22" s="181">
        <v>215</v>
      </c>
      <c r="J22" s="165">
        <f>Tabel157610[[#This Row],[Vægt (GSM)]]/1000*Tabel157610[[#This Row],[Leveret bredde (før vask)]]*Tabel157610[[#This Row],[Leveret længde (før vask)]]</f>
        <v>1.0879000000000001</v>
      </c>
      <c r="K22" s="151" t="s">
        <v>713</v>
      </c>
      <c r="L22" s="151" t="s">
        <v>606</v>
      </c>
      <c r="M22" s="151" t="s">
        <v>761</v>
      </c>
      <c r="N22" s="151" t="s">
        <v>761</v>
      </c>
      <c r="O22" s="248"/>
      <c r="P22" s="250">
        <v>0.08</v>
      </c>
      <c r="Q22" s="248"/>
      <c r="R22" s="152" t="s">
        <v>790</v>
      </c>
      <c r="S22" s="248"/>
      <c r="T22" s="181" t="s">
        <v>463</v>
      </c>
      <c r="U22" s="264"/>
      <c r="V22" s="153" t="s">
        <v>735</v>
      </c>
      <c r="W22" s="257"/>
      <c r="X22" s="257"/>
      <c r="Y22" s="257"/>
      <c r="Z22" s="255"/>
      <c r="AA22" s="256"/>
      <c r="AB22" s="256"/>
      <c r="AC22" s="256"/>
      <c r="AD22" s="260"/>
      <c r="AE22" s="260"/>
    </row>
    <row r="23" spans="1:31" ht="105" x14ac:dyDescent="0.25">
      <c r="A23" s="192" t="s">
        <v>701</v>
      </c>
      <c r="B23" s="246" t="s">
        <v>777</v>
      </c>
      <c r="C23" s="183" t="s">
        <v>746</v>
      </c>
      <c r="D23" s="275" t="s">
        <v>802</v>
      </c>
      <c r="E23" s="247">
        <v>800</v>
      </c>
      <c r="F23" s="151" t="s">
        <v>562</v>
      </c>
      <c r="G23" s="162">
        <v>1.4</v>
      </c>
      <c r="H23" s="162">
        <v>3.15</v>
      </c>
      <c r="I23" s="181">
        <v>215</v>
      </c>
      <c r="J23" s="165">
        <f>Tabel157610[[#This Row],[Vægt (GSM)]]/1000*Tabel157610[[#This Row],[Leveret bredde (før vask)]]*Tabel157610[[#This Row],[Leveret længde (før vask)]]</f>
        <v>0.94814999999999994</v>
      </c>
      <c r="K23" s="151" t="s">
        <v>714</v>
      </c>
      <c r="L23" s="151" t="s">
        <v>527</v>
      </c>
      <c r="M23" s="151" t="s">
        <v>760</v>
      </c>
      <c r="N23" s="151" t="s">
        <v>760</v>
      </c>
      <c r="O23" s="248"/>
      <c r="P23" s="250">
        <v>0.08</v>
      </c>
      <c r="Q23" s="248"/>
      <c r="R23" s="152" t="s">
        <v>775</v>
      </c>
      <c r="S23" s="248"/>
      <c r="T23" s="181" t="s">
        <v>463</v>
      </c>
      <c r="U23" s="264"/>
      <c r="V23" s="153" t="s">
        <v>736</v>
      </c>
      <c r="W23" s="257"/>
      <c r="X23" s="257"/>
      <c r="Y23" s="257"/>
      <c r="Z23" s="255"/>
      <c r="AA23" s="256"/>
      <c r="AB23" s="256"/>
      <c r="AC23" s="256"/>
      <c r="AD23" s="260"/>
      <c r="AE23" s="260"/>
    </row>
    <row r="24" spans="1:31" ht="105" x14ac:dyDescent="0.25">
      <c r="A24" s="231" t="s">
        <v>703</v>
      </c>
      <c r="B24" s="186" t="s">
        <v>774</v>
      </c>
      <c r="C24" s="183" t="s">
        <v>746</v>
      </c>
      <c r="D24" s="275" t="s">
        <v>802</v>
      </c>
      <c r="E24" s="247">
        <v>13000</v>
      </c>
      <c r="F24" s="151" t="s">
        <v>562</v>
      </c>
      <c r="G24" s="162">
        <v>0.52</v>
      </c>
      <c r="H24" s="162">
        <v>0.52</v>
      </c>
      <c r="I24" s="181">
        <v>215</v>
      </c>
      <c r="J24" s="165">
        <f>Tabel157610[[#This Row],[Vægt (GSM)]]/1000*Tabel157610[[#This Row],[Leveret bredde (før vask)]]*Tabel157610[[#This Row],[Leveret længde (før vask)]]</f>
        <v>5.8136E-2</v>
      </c>
      <c r="K24" s="151" t="s">
        <v>713</v>
      </c>
      <c r="L24" s="151" t="s">
        <v>527</v>
      </c>
      <c r="M24" s="151" t="s">
        <v>760</v>
      </c>
      <c r="N24" s="151" t="s">
        <v>760</v>
      </c>
      <c r="O24" s="248"/>
      <c r="P24" s="250">
        <v>0.08</v>
      </c>
      <c r="Q24" s="248"/>
      <c r="R24" s="152" t="s">
        <v>775</v>
      </c>
      <c r="S24" s="248"/>
      <c r="T24" s="251" t="s">
        <v>506</v>
      </c>
      <c r="U24" s="248"/>
      <c r="V24" s="248"/>
      <c r="W24" s="255"/>
      <c r="X24" s="255"/>
      <c r="Y24" s="255"/>
      <c r="Z24" s="255"/>
      <c r="AA24" s="256"/>
      <c r="AB24" s="256"/>
      <c r="AC24" s="256"/>
      <c r="AD24" s="260"/>
      <c r="AE24" s="260"/>
    </row>
    <row r="25" spans="1:31" ht="28.5" customHeight="1" x14ac:dyDescent="0.25">
      <c r="E25"/>
      <c r="F25"/>
      <c r="J25"/>
      <c r="K25"/>
      <c r="N25" s="155"/>
      <c r="O25" s="155"/>
      <c r="P25" s="155"/>
      <c r="Q25" s="155"/>
      <c r="R25" s="155"/>
      <c r="S25" s="155"/>
      <c r="T25" s="155"/>
      <c r="U25" s="155"/>
    </row>
    <row r="26" spans="1:31" x14ac:dyDescent="0.25">
      <c r="E26"/>
      <c r="F26"/>
      <c r="H26" s="127"/>
      <c r="I26" s="127"/>
      <c r="J26"/>
      <c r="K26" s="40"/>
    </row>
    <row r="27" spans="1:31" x14ac:dyDescent="0.25">
      <c r="E27"/>
      <c r="F27"/>
      <c r="H27" s="127"/>
      <c r="I27" s="127"/>
      <c r="J27"/>
      <c r="K27" s="40"/>
    </row>
  </sheetData>
  <mergeCells count="1">
    <mergeCell ref="W4:AE4"/>
  </mergeCells>
  <phoneticPr fontId="32" type="noConversion"/>
  <conditionalFormatting sqref="T10 T24">
    <cfRule type="cellIs" dxfId="7" priority="1" operator="equal">
      <formula>"nej"</formula>
    </cfRule>
    <cfRule type="cellIs" dxfId="6" priority="2" operator="equal">
      <formula>"ja"</formula>
    </cfRule>
  </conditionalFormatting>
  <pageMargins left="0.7" right="0.7" top="0.75" bottom="0.75" header="0.3" footer="0.3"/>
  <pageSetup paperSize="9" scale="25" fitToWidth="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6758-2718-46AA-93F0-F32DF181112A}">
  <dimension ref="B1:AD61"/>
  <sheetViews>
    <sheetView workbookViewId="0"/>
  </sheetViews>
  <sheetFormatPr defaultRowHeight="15" x14ac:dyDescent="0.25"/>
  <cols>
    <col min="2" max="2" width="16" customWidth="1"/>
    <col min="3" max="3" width="22.5703125" customWidth="1"/>
    <col min="4" max="4" width="17" style="77" bestFit="1" customWidth="1"/>
    <col min="5" max="5" width="30.5703125" bestFit="1" customWidth="1"/>
    <col min="6" max="6" width="13.28515625" customWidth="1"/>
    <col min="7" max="7" width="14.7109375" customWidth="1"/>
    <col min="8" max="8" width="18.28515625" customWidth="1"/>
    <col min="9" max="12" width="18.28515625" style="127" customWidth="1"/>
    <col min="13" max="15" width="15.7109375" customWidth="1"/>
    <col min="16" max="16" width="15.7109375" style="77" customWidth="1"/>
    <col min="17" max="17" width="12.5703125" style="163" customWidth="1"/>
    <col min="18" max="30" width="15.7109375" customWidth="1"/>
  </cols>
  <sheetData>
    <row r="1" spans="2:30" x14ac:dyDescent="0.25">
      <c r="B1" s="236" t="s">
        <v>547</v>
      </c>
      <c r="C1" s="237">
        <v>45952</v>
      </c>
      <c r="D1" s="229" t="s">
        <v>716</v>
      </c>
      <c r="E1" s="269" t="s">
        <v>718</v>
      </c>
      <c r="G1" t="s">
        <v>725</v>
      </c>
    </row>
    <row r="2" spans="2:30" x14ac:dyDescent="0.25">
      <c r="B2" s="147"/>
      <c r="C2" s="147"/>
      <c r="D2" s="229" t="s">
        <v>717</v>
      </c>
      <c r="E2" s="269"/>
      <c r="G2" s="24" t="s">
        <v>729</v>
      </c>
    </row>
    <row r="3" spans="2:30" x14ac:dyDescent="0.25">
      <c r="G3" s="24" t="s">
        <v>728</v>
      </c>
    </row>
    <row r="4" spans="2:30" x14ac:dyDescent="0.25">
      <c r="G4" t="s">
        <v>727</v>
      </c>
    </row>
    <row r="6" spans="2:30" x14ac:dyDescent="0.25">
      <c r="L6" s="198" t="s">
        <v>661</v>
      </c>
      <c r="M6" s="178"/>
      <c r="N6" s="178"/>
      <c r="O6" s="178"/>
      <c r="P6" s="196"/>
      <c r="Q6" s="197"/>
      <c r="T6" t="s">
        <v>533</v>
      </c>
    </row>
    <row r="7" spans="2:30" ht="32.25" customHeight="1" x14ac:dyDescent="0.25">
      <c r="C7" s="174"/>
      <c r="F7" s="200" t="s">
        <v>198</v>
      </c>
      <c r="G7" s="200">
        <v>5</v>
      </c>
      <c r="H7" s="200"/>
      <c r="I7" s="201"/>
      <c r="J7" s="201"/>
      <c r="K7" s="201"/>
      <c r="T7" t="s">
        <v>528</v>
      </c>
      <c r="AB7" s="240" t="s">
        <v>722</v>
      </c>
    </row>
    <row r="8" spans="2:30" x14ac:dyDescent="0.25">
      <c r="F8" s="200" t="s">
        <v>212</v>
      </c>
      <c r="G8" s="200">
        <v>20</v>
      </c>
      <c r="H8" s="202" t="s">
        <v>696</v>
      </c>
      <c r="I8" s="203"/>
      <c r="J8" s="203"/>
      <c r="K8" s="203"/>
      <c r="AB8" s="241"/>
    </row>
    <row r="9" spans="2:30" ht="45" x14ac:dyDescent="0.25">
      <c r="B9" s="149" t="s">
        <v>537</v>
      </c>
      <c r="C9" s="149" t="s">
        <v>653</v>
      </c>
      <c r="D9" s="224" t="s">
        <v>700</v>
      </c>
      <c r="E9" s="96" t="s">
        <v>536</v>
      </c>
      <c r="F9" s="221" t="s">
        <v>738</v>
      </c>
      <c r="G9" s="221" t="s">
        <v>739</v>
      </c>
      <c r="H9" s="221" t="s">
        <v>740</v>
      </c>
      <c r="I9" s="222" t="s">
        <v>741</v>
      </c>
      <c r="J9" s="222" t="s">
        <v>742</v>
      </c>
      <c r="K9" s="222" t="s">
        <v>535</v>
      </c>
      <c r="L9" s="128" t="s">
        <v>656</v>
      </c>
      <c r="M9" s="150" t="s">
        <v>519</v>
      </c>
      <c r="N9" s="149" t="s">
        <v>697</v>
      </c>
      <c r="O9" s="149" t="s">
        <v>698</v>
      </c>
      <c r="P9" s="180" t="s">
        <v>520</v>
      </c>
      <c r="Q9" s="164" t="s">
        <v>529</v>
      </c>
      <c r="R9" s="150" t="s">
        <v>531</v>
      </c>
      <c r="S9" s="150" t="s">
        <v>521</v>
      </c>
      <c r="T9" s="96" t="s">
        <v>523</v>
      </c>
      <c r="U9" s="96" t="s">
        <v>522</v>
      </c>
      <c r="V9" s="96" t="s">
        <v>524</v>
      </c>
      <c r="W9" s="96" t="s">
        <v>724</v>
      </c>
      <c r="X9" s="195" t="s">
        <v>663</v>
      </c>
      <c r="Y9" s="238" t="s">
        <v>719</v>
      </c>
      <c r="Z9" s="195" t="s">
        <v>664</v>
      </c>
      <c r="AA9" s="158" t="s">
        <v>532</v>
      </c>
      <c r="AB9" s="149" t="s">
        <v>721</v>
      </c>
      <c r="AC9" s="159" t="s">
        <v>534</v>
      </c>
      <c r="AD9" s="149" t="s">
        <v>548</v>
      </c>
    </row>
    <row r="10" spans="2:30" ht="75" x14ac:dyDescent="0.25">
      <c r="B10" s="183">
        <v>11558</v>
      </c>
      <c r="C10" s="183" t="s">
        <v>249</v>
      </c>
      <c r="D10" s="225" t="s">
        <v>706</v>
      </c>
      <c r="E10" s="183" t="s">
        <v>538</v>
      </c>
      <c r="F10" s="184" t="e">
        <f>+#REF!</f>
        <v>#REF!</v>
      </c>
      <c r="G10" s="184" t="e">
        <f>+#REF!</f>
        <v>#REF!</v>
      </c>
      <c r="H10" s="184" t="e">
        <f>+#REF!</f>
        <v>#REF!</v>
      </c>
      <c r="I10" s="184" t="e">
        <f>+#REF!</f>
        <v>#REF!</v>
      </c>
      <c r="J10" s="184" t="e">
        <f>+Tabel15[[#This Row],[Nyt til KG+ SPA]]+Tabel15[[#This Row],[Opyldning af lager]]+Tabel15[[#This Row],[Duge og servietter ]]+Tabel15[[#This Row],[Buffer vurderet]]</f>
        <v>#REF!</v>
      </c>
      <c r="K10" s="184">
        <v>2700</v>
      </c>
      <c r="L10" s="184"/>
      <c r="M10" s="151" t="s">
        <v>562</v>
      </c>
      <c r="N10" s="161">
        <v>0.5</v>
      </c>
      <c r="O10" s="161">
        <v>0.7</v>
      </c>
      <c r="P10" s="181">
        <v>680</v>
      </c>
      <c r="Q10" s="165">
        <f>Tabel15[[#This Row],[Vægt (GSM)]]/1000*Tabel15[[#This Row],[Leveret bredde (før vask)]]*Tabel15[[#This Row],[Leveret længde (før vask)]]</f>
        <v>0.23799999999999999</v>
      </c>
      <c r="R10" s="151" t="s">
        <v>712</v>
      </c>
      <c r="S10" s="151" t="s">
        <v>525</v>
      </c>
      <c r="T10" s="151" t="s">
        <v>647</v>
      </c>
      <c r="U10" s="151" t="s">
        <v>636</v>
      </c>
      <c r="V10" s="151" t="s">
        <v>648</v>
      </c>
      <c r="W10" s="153"/>
      <c r="X10" s="153"/>
      <c r="Y10" s="153"/>
      <c r="Z10" s="153"/>
      <c r="AA10" s="228" t="s">
        <v>463</v>
      </c>
      <c r="AB10" s="156"/>
      <c r="AC10" s="156"/>
      <c r="AD10" s="156"/>
    </row>
    <row r="11" spans="2:30" ht="75" x14ac:dyDescent="0.25">
      <c r="B11" s="183">
        <v>22383</v>
      </c>
      <c r="C11" s="186" t="s">
        <v>597</v>
      </c>
      <c r="D11" s="225" t="s">
        <v>705</v>
      </c>
      <c r="E11" s="186" t="s">
        <v>654</v>
      </c>
      <c r="F11" s="184">
        <v>621</v>
      </c>
      <c r="G11" s="184">
        <f>+Tabel15[[#This Row],[Nyt til KG+ SPA]]/$G$8</f>
        <v>31.05</v>
      </c>
      <c r="H11" s="184" t="e">
        <f>+#REF!</f>
        <v>#REF!</v>
      </c>
      <c r="I11" s="184">
        <v>400</v>
      </c>
      <c r="J11" s="184" t="e">
        <f>+Tabel15[[#This Row],[Nyt til KG+ SPA]]+Tabel15[[#This Row],[Opyldning af lager]]+Tabel15[[#This Row],[Duge og servietter ]]+Tabel15[[#This Row],[Buffer vurderet]]</f>
        <v>#REF!</v>
      </c>
      <c r="K11" s="184">
        <v>600</v>
      </c>
      <c r="L11" s="184"/>
      <c r="M11" s="151" t="s">
        <v>562</v>
      </c>
      <c r="N11" s="161">
        <v>1</v>
      </c>
      <c r="O11" s="161">
        <v>1.05</v>
      </c>
      <c r="P11" s="181">
        <v>220</v>
      </c>
      <c r="Q11" s="165">
        <f>Tabel15[[#This Row],[Vægt (GSM)]]/1000*Tabel15[[#This Row],[Leveret bredde (før vask)]]*Tabel15[[#This Row],[Leveret længde (før vask)]]</f>
        <v>0.23100000000000001</v>
      </c>
      <c r="R11" s="151" t="s">
        <v>714</v>
      </c>
      <c r="S11" s="151" t="s">
        <v>527</v>
      </c>
      <c r="T11" s="151" t="s">
        <v>526</v>
      </c>
      <c r="U11" s="151" t="s">
        <v>526</v>
      </c>
      <c r="V11" s="152"/>
      <c r="W11" s="152"/>
      <c r="X11" s="152"/>
      <c r="Y11" s="152"/>
      <c r="Z11" s="152"/>
      <c r="AA11" s="228" t="s">
        <v>463</v>
      </c>
      <c r="AB11" s="152" t="s">
        <v>731</v>
      </c>
      <c r="AC11" s="152"/>
      <c r="AD11" s="152"/>
    </row>
    <row r="12" spans="2:30" ht="75" x14ac:dyDescent="0.25">
      <c r="B12" s="183">
        <v>22384</v>
      </c>
      <c r="C12" s="186" t="s">
        <v>589</v>
      </c>
      <c r="D12" s="225" t="s">
        <v>707</v>
      </c>
      <c r="E12" s="186" t="s">
        <v>655</v>
      </c>
      <c r="F12" s="184">
        <v>934</v>
      </c>
      <c r="G12" s="184">
        <f>+Tabel15[[#This Row],[Nyt til KG+ SPA]]/$G$8</f>
        <v>46.7</v>
      </c>
      <c r="H12" s="184" t="e">
        <f>+#REF!</f>
        <v>#REF!</v>
      </c>
      <c r="I12" s="184">
        <v>600</v>
      </c>
      <c r="J12" s="184" t="e">
        <f>+Tabel15[[#This Row],[Nyt til KG+ SPA]]+Tabel15[[#This Row],[Opyldning af lager]]+Tabel15[[#This Row],[Duge og servietter ]]+Tabel15[[#This Row],[Buffer vurderet]]</f>
        <v>#REF!</v>
      </c>
      <c r="K12" s="184">
        <v>850</v>
      </c>
      <c r="L12" s="184"/>
      <c r="M12" s="151" t="s">
        <v>562</v>
      </c>
      <c r="N12" s="162">
        <v>1.4</v>
      </c>
      <c r="O12" s="162">
        <v>2.1</v>
      </c>
      <c r="P12" s="181">
        <v>220</v>
      </c>
      <c r="Q12" s="165">
        <f>Tabel15[[#This Row],[Vægt (GSM)]]/1000*Tabel15[[#This Row],[Leveret bredde (før vask)]]*Tabel15[[#This Row],[Leveret længde (før vask)]]</f>
        <v>0.64680000000000004</v>
      </c>
      <c r="R12" s="151" t="s">
        <v>714</v>
      </c>
      <c r="S12" s="151" t="s">
        <v>527</v>
      </c>
      <c r="T12" s="151" t="s">
        <v>526</v>
      </c>
      <c r="U12" s="151" t="s">
        <v>526</v>
      </c>
      <c r="V12" s="152"/>
      <c r="W12" s="152"/>
      <c r="X12" s="152"/>
      <c r="Y12" s="152"/>
      <c r="Z12" s="152"/>
      <c r="AA12" s="228" t="s">
        <v>463</v>
      </c>
      <c r="AB12" s="151" t="s">
        <v>732</v>
      </c>
      <c r="AC12" s="152"/>
      <c r="AD12" s="152"/>
    </row>
    <row r="13" spans="2:30" ht="75" x14ac:dyDescent="0.25">
      <c r="B13" s="183">
        <v>22083</v>
      </c>
      <c r="C13" s="186" t="s">
        <v>601</v>
      </c>
      <c r="D13" s="225" t="s">
        <v>708</v>
      </c>
      <c r="E13" s="151" t="s">
        <v>733</v>
      </c>
      <c r="F13" s="184">
        <v>85</v>
      </c>
      <c r="G13" s="184">
        <f>+Tabel15[[#This Row],[Nyt til KG+ SPA]]/$G$8</f>
        <v>4.25</v>
      </c>
      <c r="H13" s="184" t="e">
        <f>+#REF!</f>
        <v>#REF!</v>
      </c>
      <c r="I13" s="185"/>
      <c r="J13" s="184" t="e">
        <f>+Tabel15[[#This Row],[Nyt til KG+ SPA]]+Tabel15[[#This Row],[Opyldning af lager]]+Tabel15[[#This Row],[Duge og servietter ]]+Tabel15[[#This Row],[Buffer vurderet]]</f>
        <v>#REF!</v>
      </c>
      <c r="K13" s="184"/>
      <c r="L13" s="184"/>
      <c r="M13" s="151" t="s">
        <v>562</v>
      </c>
      <c r="N13" s="223">
        <v>2</v>
      </c>
      <c r="O13" s="223">
        <v>2.1</v>
      </c>
      <c r="P13" s="181">
        <v>215</v>
      </c>
      <c r="Q13" s="165">
        <f>Tabel15[[#This Row],[Vægt (GSM)]]/1000*Tabel15[[#This Row],[Leveret bredde (før vask)]]*Tabel15[[#This Row],[Leveret længde (før vask)]]</f>
        <v>0.90300000000000002</v>
      </c>
      <c r="R13" s="151" t="s">
        <v>713</v>
      </c>
      <c r="S13" s="151" t="s">
        <v>606</v>
      </c>
      <c r="T13" s="151" t="s">
        <v>607</v>
      </c>
      <c r="U13" s="151" t="s">
        <v>607</v>
      </c>
      <c r="V13" s="152"/>
      <c r="W13" s="152"/>
      <c r="X13" s="152"/>
      <c r="Y13" s="152"/>
      <c r="Z13" s="152"/>
      <c r="AA13" s="228" t="s">
        <v>463</v>
      </c>
      <c r="AB13" s="151" t="s">
        <v>737</v>
      </c>
      <c r="AC13" s="152"/>
      <c r="AD13" s="152"/>
    </row>
    <row r="14" spans="2:30" ht="75" x14ac:dyDescent="0.25">
      <c r="B14" s="183">
        <v>22084</v>
      </c>
      <c r="C14" s="186" t="s">
        <v>608</v>
      </c>
      <c r="D14" s="225" t="s">
        <v>708</v>
      </c>
      <c r="E14" s="151" t="s">
        <v>734</v>
      </c>
      <c r="F14" s="184">
        <v>9</v>
      </c>
      <c r="G14" s="184">
        <f>+Tabel15[[#This Row],[Nyt til KG+ SPA]]/$G$8</f>
        <v>0.45</v>
      </c>
      <c r="H14" s="184" t="e">
        <f>+#REF!</f>
        <v>#REF!</v>
      </c>
      <c r="I14" s="185"/>
      <c r="J14" s="184" t="e">
        <f>+Tabel15[[#This Row],[Nyt til KG+ SPA]]+Tabel15[[#This Row],[Opyldning af lager]]+Tabel15[[#This Row],[Duge og servietter ]]+Tabel15[[#This Row],[Buffer vurderet]]</f>
        <v>#REF!</v>
      </c>
      <c r="K14" s="184"/>
      <c r="L14" s="184"/>
      <c r="M14" s="151" t="s">
        <v>562</v>
      </c>
      <c r="N14" s="223">
        <v>2.2000000000000002</v>
      </c>
      <c r="O14" s="223">
        <v>2.2999999999999998</v>
      </c>
      <c r="P14" s="181">
        <v>215</v>
      </c>
      <c r="Q14" s="165">
        <f>Tabel15[[#This Row],[Vægt (GSM)]]/1000*Tabel15[[#This Row],[Leveret bredde (før vask)]]*Tabel15[[#This Row],[Leveret længde (før vask)]]</f>
        <v>1.0879000000000001</v>
      </c>
      <c r="R14" s="151" t="s">
        <v>713</v>
      </c>
      <c r="S14" s="151" t="s">
        <v>606</v>
      </c>
      <c r="T14" s="151" t="s">
        <v>607</v>
      </c>
      <c r="U14" s="151" t="s">
        <v>607</v>
      </c>
      <c r="V14" s="152"/>
      <c r="W14" s="152"/>
      <c r="X14" s="152"/>
      <c r="Y14" s="152"/>
      <c r="Z14" s="152"/>
      <c r="AA14" s="228" t="s">
        <v>463</v>
      </c>
      <c r="AB14" s="151" t="s">
        <v>735</v>
      </c>
      <c r="AC14" s="152"/>
      <c r="AD14" s="152"/>
    </row>
    <row r="15" spans="2:30" ht="75" x14ac:dyDescent="0.25">
      <c r="B15" s="183">
        <v>23427</v>
      </c>
      <c r="C15" s="186" t="s">
        <v>594</v>
      </c>
      <c r="D15" s="225" t="s">
        <v>707</v>
      </c>
      <c r="E15" s="186" t="s">
        <v>701</v>
      </c>
      <c r="F15" s="184">
        <v>484</v>
      </c>
      <c r="G15" s="184">
        <f>+Tabel15[[#This Row],[Nyt til KG+ SPA]]/$G$8</f>
        <v>24.2</v>
      </c>
      <c r="H15" s="184" t="e">
        <f>+#REF!</f>
        <v>#REF!</v>
      </c>
      <c r="I15" s="184">
        <v>600</v>
      </c>
      <c r="J15" s="184" t="e">
        <f>+Tabel15[[#This Row],[Nyt til KG+ SPA]]+Tabel15[[#This Row],[Opyldning af lager]]+Tabel15[[#This Row],[Duge og servietter ]]+Tabel15[[#This Row],[Buffer vurderet]]</f>
        <v>#REF!</v>
      </c>
      <c r="K15" s="184">
        <v>750</v>
      </c>
      <c r="L15" s="184"/>
      <c r="M15" s="151" t="s">
        <v>562</v>
      </c>
      <c r="N15" s="162">
        <v>1.4</v>
      </c>
      <c r="O15" s="162">
        <v>3.15</v>
      </c>
      <c r="P15" s="181">
        <v>215</v>
      </c>
      <c r="Q15" s="165">
        <f>Tabel15[[#This Row],[Vægt (GSM)]]/1000*Tabel15[[#This Row],[Leveret bredde (før vask)]]*Tabel15[[#This Row],[Leveret længde (før vask)]]</f>
        <v>0.94814999999999994</v>
      </c>
      <c r="R15" s="151" t="s">
        <v>714</v>
      </c>
      <c r="S15" s="151" t="s">
        <v>527</v>
      </c>
      <c r="T15" s="151" t="s">
        <v>526</v>
      </c>
      <c r="U15" s="151" t="s">
        <v>526</v>
      </c>
      <c r="V15" s="152"/>
      <c r="W15" s="152"/>
      <c r="X15" s="152"/>
      <c r="Y15" s="152"/>
      <c r="Z15" s="152"/>
      <c r="AA15" s="228" t="s">
        <v>463</v>
      </c>
      <c r="AB15" s="151" t="s">
        <v>736</v>
      </c>
      <c r="AC15" s="152"/>
      <c r="AD15" s="152"/>
    </row>
    <row r="16" spans="2:30" ht="75" x14ac:dyDescent="0.25">
      <c r="B16" s="230">
        <v>11578</v>
      </c>
      <c r="C16" s="235" t="s">
        <v>611</v>
      </c>
      <c r="D16" s="213" t="s">
        <v>705</v>
      </c>
      <c r="E16" s="231" t="s">
        <v>703</v>
      </c>
      <c r="F16" s="184">
        <v>19633</v>
      </c>
      <c r="G16" s="184">
        <f>+Tabel15[[#This Row],[Nyt til KG+ SPA]]/$G$8</f>
        <v>981.65</v>
      </c>
      <c r="H16" s="184" t="e">
        <f>+#REF!</f>
        <v>#REF!</v>
      </c>
      <c r="I16" s="184">
        <v>2000</v>
      </c>
      <c r="J16" s="184" t="e">
        <f>+Tabel15[[#This Row],[Nyt til KG+ SPA]]+Tabel15[[#This Row],[Opyldning af lager]]+Tabel15[[#This Row],[Duge og servietter ]]+Tabel15[[#This Row],[Buffer vurderet]]</f>
        <v>#REF!</v>
      </c>
      <c r="K16" s="184">
        <v>7000</v>
      </c>
      <c r="L16" s="184"/>
      <c r="M16" s="151" t="s">
        <v>562</v>
      </c>
      <c r="N16" s="162">
        <v>0.52</v>
      </c>
      <c r="O16" s="162">
        <v>0.52</v>
      </c>
      <c r="P16" s="181">
        <v>215</v>
      </c>
      <c r="Q16" s="165">
        <f>Tabel15[[#This Row],[Vægt (GSM)]]/1000*Tabel15[[#This Row],[Leveret bredde (før vask)]]*Tabel15[[#This Row],[Leveret længde (før vask)]]</f>
        <v>5.8136E-2</v>
      </c>
      <c r="R16" s="151" t="s">
        <v>713</v>
      </c>
      <c r="S16" s="151" t="s">
        <v>527</v>
      </c>
      <c r="T16" s="151" t="s">
        <v>526</v>
      </c>
      <c r="U16" s="151" t="s">
        <v>526</v>
      </c>
      <c r="V16" s="152"/>
      <c r="W16" s="152"/>
      <c r="X16" s="152"/>
      <c r="Y16" s="152"/>
      <c r="Z16" s="152"/>
      <c r="AA16" s="228" t="s">
        <v>506</v>
      </c>
      <c r="AB16" s="156"/>
      <c r="AC16" s="157"/>
      <c r="AD16" s="157"/>
    </row>
    <row r="17" spans="2:30" ht="75" x14ac:dyDescent="0.25">
      <c r="B17" s="230">
        <v>10660</v>
      </c>
      <c r="C17" s="232" t="s">
        <v>685</v>
      </c>
      <c r="D17" s="239" t="s">
        <v>720</v>
      </c>
      <c r="E17" s="243" t="s">
        <v>730</v>
      </c>
      <c r="F17" s="184">
        <v>999</v>
      </c>
      <c r="G17" s="184">
        <f>+Tabel15[[#This Row],[Nyt til KG+ SPA]]/$G$8</f>
        <v>49.95</v>
      </c>
      <c r="H17" s="184" t="e">
        <f>+#REF!</f>
        <v>#REF!</v>
      </c>
      <c r="I17" s="187"/>
      <c r="J17" s="184" t="e">
        <f>+Tabel15[[#This Row],[Nyt til KG+ SPA]]+Tabel15[[#This Row],[Opyldning af lager]]+Tabel15[[#This Row],[Duge og servietter ]]+Tabel15[[#This Row],[Buffer vurderet]]</f>
        <v>#REF!</v>
      </c>
      <c r="K17" s="188"/>
      <c r="L17" s="184"/>
      <c r="M17" s="151" t="s">
        <v>562</v>
      </c>
      <c r="N17" s="167"/>
      <c r="O17" s="167"/>
      <c r="P17" s="181"/>
      <c r="Q17" s="165">
        <f>Tabel15[[#This Row],[Vægt (GSM)]]/1000*Tabel15[[#This Row],[Leveret bredde (før vask)]]*Tabel15[[#This Row],[Leveret længde (før vask)]]</f>
        <v>0</v>
      </c>
      <c r="R17" s="152"/>
      <c r="S17" s="152"/>
      <c r="T17" s="152"/>
      <c r="U17" s="152"/>
      <c r="V17" s="152"/>
      <c r="W17" s="152"/>
      <c r="X17" s="152"/>
      <c r="Y17" s="152"/>
      <c r="Z17" s="152"/>
      <c r="AA17" s="228" t="s">
        <v>463</v>
      </c>
      <c r="AB17" s="156"/>
      <c r="AC17" s="152"/>
      <c r="AD17" s="152"/>
    </row>
    <row r="18" spans="2:30" ht="75" x14ac:dyDescent="0.25">
      <c r="B18" s="230">
        <v>11701</v>
      </c>
      <c r="C18" s="232" t="s">
        <v>685</v>
      </c>
      <c r="D18" s="239" t="s">
        <v>720</v>
      </c>
      <c r="E18" s="231" t="s">
        <v>546</v>
      </c>
      <c r="F18" s="184">
        <v>43</v>
      </c>
      <c r="G18" s="184">
        <f>+Tabel15[[#This Row],[Nyt til KG+ SPA]]/$G$8</f>
        <v>2.15</v>
      </c>
      <c r="H18" s="184" t="e">
        <f>+#REF!</f>
        <v>#REF!</v>
      </c>
      <c r="I18" s="187"/>
      <c r="J18" s="184" t="e">
        <f>+Tabel15[[#This Row],[Nyt til KG+ SPA]]+Tabel15[[#This Row],[Opyldning af lager]]+Tabel15[[#This Row],[Duge og servietter ]]+Tabel15[[#This Row],[Buffer vurderet]]</f>
        <v>#REF!</v>
      </c>
      <c r="K18" s="188"/>
      <c r="L18" s="184"/>
      <c r="M18" s="151" t="s">
        <v>562</v>
      </c>
      <c r="N18" s="167"/>
      <c r="O18" s="167"/>
      <c r="P18" s="181"/>
      <c r="Q18" s="165">
        <f>Tabel15[[#This Row],[Vægt (GSM)]]/1000*Tabel15[[#This Row],[Leveret bredde (før vask)]]*Tabel15[[#This Row],[Leveret længde (før vask)]]</f>
        <v>0</v>
      </c>
      <c r="R18" s="152"/>
      <c r="S18" s="152"/>
      <c r="T18" s="152"/>
      <c r="U18" s="152"/>
      <c r="V18" s="152"/>
      <c r="W18" s="152"/>
      <c r="X18" s="152"/>
      <c r="Y18" s="152"/>
      <c r="Z18" s="152"/>
      <c r="AA18" s="228" t="s">
        <v>463</v>
      </c>
      <c r="AB18" s="156"/>
      <c r="AC18" s="152"/>
      <c r="AD18" s="152"/>
    </row>
    <row r="19" spans="2:30" ht="75" x14ac:dyDescent="0.25">
      <c r="B19" s="230">
        <v>11702</v>
      </c>
      <c r="C19" s="232" t="s">
        <v>685</v>
      </c>
      <c r="D19" s="239" t="s">
        <v>720</v>
      </c>
      <c r="E19" s="231" t="s">
        <v>545</v>
      </c>
      <c r="F19" s="184">
        <v>1029</v>
      </c>
      <c r="G19" s="184">
        <f>+Tabel15[[#This Row],[Nyt til KG+ SPA]]/$G$8</f>
        <v>51.45</v>
      </c>
      <c r="H19" s="184" t="e">
        <f>+#REF!</f>
        <v>#REF!</v>
      </c>
      <c r="I19" s="187"/>
      <c r="J19" s="184" t="e">
        <f>+Tabel15[[#This Row],[Nyt til KG+ SPA]]+Tabel15[[#This Row],[Opyldning af lager]]+Tabel15[[#This Row],[Duge og servietter ]]+Tabel15[[#This Row],[Buffer vurderet]]</f>
        <v>#REF!</v>
      </c>
      <c r="K19" s="188"/>
      <c r="L19" s="184"/>
      <c r="M19" s="151" t="s">
        <v>562</v>
      </c>
      <c r="N19" s="167"/>
      <c r="O19" s="167"/>
      <c r="P19" s="181"/>
      <c r="Q19" s="165">
        <f>Tabel15[[#This Row],[Vægt (GSM)]]/1000*Tabel15[[#This Row],[Leveret bredde (før vask)]]*Tabel15[[#This Row],[Leveret længde (før vask)]]</f>
        <v>0</v>
      </c>
      <c r="R19" s="152"/>
      <c r="S19" s="152"/>
      <c r="T19" s="152"/>
      <c r="U19" s="152"/>
      <c r="V19" s="152"/>
      <c r="W19" s="152"/>
      <c r="X19" s="152"/>
      <c r="Y19" s="152"/>
      <c r="Z19" s="152"/>
      <c r="AA19" s="228" t="s">
        <v>463</v>
      </c>
      <c r="AB19" s="156"/>
      <c r="AC19" s="152"/>
      <c r="AD19" s="152"/>
    </row>
    <row r="20" spans="2:30" x14ac:dyDescent="0.25">
      <c r="B20" s="231" t="s">
        <v>299</v>
      </c>
      <c r="C20" s="244" t="s">
        <v>299</v>
      </c>
      <c r="D20" s="245" t="s">
        <v>299</v>
      </c>
      <c r="E20" s="231"/>
      <c r="F20" s="184"/>
      <c r="G20" s="184">
        <f>+Tabel15[[#This Row],[Nyt til KG+ SPA]]/$G$8</f>
        <v>0</v>
      </c>
      <c r="H20" s="184" t="e">
        <f>+#REF!</f>
        <v>#REF!</v>
      </c>
      <c r="I20" s="187"/>
      <c r="J20" s="184" t="e">
        <f>+Tabel15[[#This Row],[Nyt til KG+ SPA]]+Tabel15[[#This Row],[Opyldning af lager]]+Tabel15[[#This Row],[Duge og servietter ]]+Tabel15[[#This Row],[Buffer vurderet]]</f>
        <v>#REF!</v>
      </c>
      <c r="K20" s="188"/>
      <c r="L20" s="184"/>
      <c r="M20" s="151"/>
      <c r="N20" s="167"/>
      <c r="O20" s="167"/>
      <c r="P20" s="181"/>
      <c r="Q20" s="165"/>
      <c r="R20" s="152"/>
      <c r="S20" s="152"/>
      <c r="T20" s="152"/>
      <c r="U20" s="152"/>
      <c r="V20" s="152"/>
      <c r="W20" s="152"/>
      <c r="X20" s="152"/>
      <c r="Y20" s="152"/>
      <c r="Z20" s="152"/>
      <c r="AA20" s="228"/>
      <c r="AB20" s="156"/>
      <c r="AC20" s="152"/>
      <c r="AD20" s="152"/>
    </row>
    <row r="21" spans="2:30" ht="75" x14ac:dyDescent="0.25">
      <c r="B21" s="230">
        <v>10659</v>
      </c>
      <c r="C21" s="235" t="s">
        <v>568</v>
      </c>
      <c r="D21" s="242" t="s">
        <v>723</v>
      </c>
      <c r="E21" s="231" t="s">
        <v>704</v>
      </c>
      <c r="F21" s="184">
        <v>13754</v>
      </c>
      <c r="G21" s="184">
        <f>+Tabel15[[#This Row],[Nyt til KG+ SPA]]/$G$8</f>
        <v>687.7</v>
      </c>
      <c r="H21" s="184" t="e">
        <f>+#REF!</f>
        <v>#REF!</v>
      </c>
      <c r="I21" s="184">
        <v>1620</v>
      </c>
      <c r="J21" s="184" t="e">
        <f>+Tabel15[[#This Row],[Nyt til KG+ SPA]]+Tabel15[[#This Row],[Opyldning af lager]]+Tabel15[[#This Row],[Duge og servietter ]]+Tabel15[[#This Row],[Buffer vurderet]]</f>
        <v>#REF!</v>
      </c>
      <c r="K21" s="184">
        <v>5100</v>
      </c>
      <c r="L21" s="184"/>
      <c r="M21" s="151" t="s">
        <v>562</v>
      </c>
      <c r="N21" s="162">
        <v>1.4</v>
      </c>
      <c r="O21" s="162">
        <v>220</v>
      </c>
      <c r="P21" s="181">
        <v>135</v>
      </c>
      <c r="Q21" s="165">
        <f>Tabel15[[#This Row],[Vægt (GSM)]]/1000*Tabel15[[#This Row],[Leveret bredde (før vask)]]*Tabel15[[#This Row],[Leveret længde (før vask)]]</f>
        <v>41.58</v>
      </c>
      <c r="R21" s="151" t="s">
        <v>570</v>
      </c>
      <c r="S21" s="151" t="s">
        <v>572</v>
      </c>
      <c r="T21" s="152" t="s">
        <v>573</v>
      </c>
      <c r="U21" s="152" t="s">
        <v>574</v>
      </c>
      <c r="V21" s="152"/>
      <c r="W21" s="152"/>
      <c r="X21" s="152"/>
      <c r="Y21" s="152"/>
      <c r="Z21" s="152"/>
      <c r="AA21" s="228" t="s">
        <v>463</v>
      </c>
      <c r="AB21" s="156"/>
      <c r="AC21" s="152"/>
      <c r="AD21" s="152"/>
    </row>
    <row r="22" spans="2:30" ht="75" x14ac:dyDescent="0.25">
      <c r="B22" s="230">
        <v>11238</v>
      </c>
      <c r="C22" s="235" t="s">
        <v>652</v>
      </c>
      <c r="D22" s="213" t="s">
        <v>709</v>
      </c>
      <c r="E22" s="231" t="s">
        <v>699</v>
      </c>
      <c r="F22" s="184">
        <v>9254</v>
      </c>
      <c r="G22" s="184">
        <f>+Tabel15[[#This Row],[Nyt til KG+ SPA]]/$G$8</f>
        <v>462.7</v>
      </c>
      <c r="H22" s="184" t="e">
        <f>+#REF!</f>
        <v>#REF!</v>
      </c>
      <c r="I22" s="184"/>
      <c r="J22" s="184" t="e">
        <f>+Tabel15[[#This Row],[Nyt til KG+ SPA]]+Tabel15[[#This Row],[Opyldning af lager]]+Tabel15[[#This Row],[Duge og servietter ]]+Tabel15[[#This Row],[Buffer vurderet]]</f>
        <v>#REF!</v>
      </c>
      <c r="K22" s="184">
        <v>2500</v>
      </c>
      <c r="L22" s="184"/>
      <c r="M22" s="151" t="s">
        <v>562</v>
      </c>
      <c r="N22" s="162">
        <v>0.65</v>
      </c>
      <c r="O22" s="162">
        <v>1.25</v>
      </c>
      <c r="P22" s="181">
        <v>360</v>
      </c>
      <c r="Q22" s="165">
        <f>Tabel15[[#This Row],[Vægt (GSM)]]/1000*Tabel15[[#This Row],[Leveret bredde (før vask)]]*Tabel15[[#This Row],[Leveret længde (før vask)]]</f>
        <v>0.29249999999999998</v>
      </c>
      <c r="R22" s="151" t="s">
        <v>649</v>
      </c>
      <c r="S22" s="151" t="s">
        <v>525</v>
      </c>
      <c r="T22" s="152" t="s">
        <v>650</v>
      </c>
      <c r="U22" s="152" t="s">
        <v>636</v>
      </c>
      <c r="V22" s="152" t="s">
        <v>651</v>
      </c>
      <c r="W22" s="152"/>
      <c r="X22" s="152"/>
      <c r="Y22" s="152"/>
      <c r="Z22" s="152"/>
      <c r="AA22" s="228" t="s">
        <v>463</v>
      </c>
      <c r="AB22" s="156"/>
      <c r="AC22" s="152"/>
      <c r="AD22" s="152"/>
    </row>
    <row r="23" spans="2:30" ht="75" x14ac:dyDescent="0.25">
      <c r="B23" s="230">
        <v>11707</v>
      </c>
      <c r="C23" s="235" t="s">
        <v>617</v>
      </c>
      <c r="D23" s="213" t="s">
        <v>710</v>
      </c>
      <c r="E23" s="230" t="s">
        <v>539</v>
      </c>
      <c r="F23" s="184">
        <v>11941</v>
      </c>
      <c r="G23" s="184">
        <f>+Tabel15[[#This Row],[Nyt til KG+ SPA]]/$G$8</f>
        <v>597.04999999999995</v>
      </c>
      <c r="H23" s="184" t="e">
        <f>+#REF!</f>
        <v>#REF!</v>
      </c>
      <c r="I23" s="184">
        <v>3240</v>
      </c>
      <c r="J23" s="184" t="e">
        <f>+Tabel15[[#This Row],[Nyt til KG+ SPA]]+Tabel15[[#This Row],[Opyldning af lager]]+Tabel15[[#This Row],[Duge og servietter ]]+Tabel15[[#This Row],[Buffer vurderet]]</f>
        <v>#REF!</v>
      </c>
      <c r="K23" s="184">
        <v>6500</v>
      </c>
      <c r="L23" s="184"/>
      <c r="M23" s="151" t="s">
        <v>562</v>
      </c>
      <c r="N23" s="162">
        <v>0.5</v>
      </c>
      <c r="O23" s="162">
        <v>1</v>
      </c>
      <c r="P23" s="181">
        <v>480</v>
      </c>
      <c r="Q23" s="165">
        <f>Tabel15[[#This Row],[Vægt (GSM)]]/1000*Tabel15[[#This Row],[Leveret bredde (før vask)]]*Tabel15[[#This Row],[Leveret længde (før vask)]]</f>
        <v>0.24</v>
      </c>
      <c r="R23" s="151" t="s">
        <v>619</v>
      </c>
      <c r="S23" s="151" t="s">
        <v>525</v>
      </c>
      <c r="T23" s="152" t="s">
        <v>622</v>
      </c>
      <c r="U23" s="152" t="s">
        <v>623</v>
      </c>
      <c r="V23" s="152" t="s">
        <v>624</v>
      </c>
      <c r="W23" s="152"/>
      <c r="X23" s="152"/>
      <c r="Y23" s="152"/>
      <c r="Z23" s="152"/>
      <c r="AA23" s="228" t="s">
        <v>463</v>
      </c>
      <c r="AB23" s="156"/>
      <c r="AC23" s="152"/>
      <c r="AD23" s="152"/>
    </row>
    <row r="24" spans="2:30" ht="75" x14ac:dyDescent="0.25">
      <c r="B24" s="230">
        <v>11706</v>
      </c>
      <c r="C24" s="235" t="s">
        <v>625</v>
      </c>
      <c r="D24" s="213" t="s">
        <v>710</v>
      </c>
      <c r="E24" s="230" t="s">
        <v>540</v>
      </c>
      <c r="F24" s="184">
        <v>10654</v>
      </c>
      <c r="G24" s="184">
        <f>+Tabel15[[#This Row],[Nyt til KG+ SPA]]/$G$8</f>
        <v>532.70000000000005</v>
      </c>
      <c r="H24" s="184" t="e">
        <f>+#REF!</f>
        <v>#REF!</v>
      </c>
      <c r="I24" s="184">
        <v>3240</v>
      </c>
      <c r="J24" s="184" t="e">
        <f>+Tabel15[[#This Row],[Nyt til KG+ SPA]]+Tabel15[[#This Row],[Opyldning af lager]]+Tabel15[[#This Row],[Duge og servietter ]]+Tabel15[[#This Row],[Buffer vurderet]]</f>
        <v>#REF!</v>
      </c>
      <c r="K24" s="184">
        <v>6000</v>
      </c>
      <c r="L24" s="184"/>
      <c r="M24" s="151" t="s">
        <v>562</v>
      </c>
      <c r="N24" s="162">
        <v>0.7</v>
      </c>
      <c r="O24" s="162">
        <v>1.4</v>
      </c>
      <c r="P24" s="181">
        <v>480</v>
      </c>
      <c r="Q24" s="165">
        <f>Tabel15[[#This Row],[Vægt (GSM)]]/1000*Tabel15[[#This Row],[Leveret bredde (før vask)]]*Tabel15[[#This Row],[Leveret længde (før vask)]]</f>
        <v>0.47039999999999993</v>
      </c>
      <c r="R24" s="151" t="s">
        <v>619</v>
      </c>
      <c r="S24" s="151" t="s">
        <v>525</v>
      </c>
      <c r="T24" s="152" t="s">
        <v>622</v>
      </c>
      <c r="U24" s="152" t="s">
        <v>623</v>
      </c>
      <c r="V24" s="152" t="s">
        <v>624</v>
      </c>
      <c r="W24" s="152"/>
      <c r="X24" s="152"/>
      <c r="Y24" s="152"/>
      <c r="Z24" s="152"/>
      <c r="AA24" s="228" t="s">
        <v>463</v>
      </c>
      <c r="AB24" s="156"/>
      <c r="AC24" s="152"/>
      <c r="AD24" s="152"/>
    </row>
    <row r="25" spans="2:30" ht="75" x14ac:dyDescent="0.25">
      <c r="B25" s="230">
        <v>23732</v>
      </c>
      <c r="C25" s="235" t="s">
        <v>627</v>
      </c>
      <c r="D25" s="213" t="s">
        <v>710</v>
      </c>
      <c r="E25" s="230" t="s">
        <v>541</v>
      </c>
      <c r="F25" s="184"/>
      <c r="G25" s="184">
        <f>+Tabel15[[#This Row],[Nyt til KG+ SPA]]/$G$8</f>
        <v>0</v>
      </c>
      <c r="H25" s="184" t="e">
        <f>+#REF!</f>
        <v>#REF!</v>
      </c>
      <c r="I25" s="184">
        <v>1620</v>
      </c>
      <c r="J25" s="184" t="e">
        <f>+Tabel15[[#This Row],[Nyt til KG+ SPA]]+Tabel15[[#This Row],[Opyldning af lager]]+Tabel15[[#This Row],[Duge og servietter ]]+Tabel15[[#This Row],[Buffer vurderet]]</f>
        <v>#REF!</v>
      </c>
      <c r="K25" s="184">
        <v>1700</v>
      </c>
      <c r="L25" s="184"/>
      <c r="M25" s="151" t="s">
        <v>562</v>
      </c>
      <c r="N25" s="162">
        <v>1</v>
      </c>
      <c r="O25" s="162">
        <v>1.5</v>
      </c>
      <c r="P25" s="181">
        <v>480</v>
      </c>
      <c r="Q25" s="165">
        <f>Tabel15[[#This Row],[Vægt (GSM)]]/1000*Tabel15[[#This Row],[Leveret bredde (før vask)]]*Tabel15[[#This Row],[Leveret længde (før vask)]]</f>
        <v>0.72</v>
      </c>
      <c r="R25" s="151" t="s">
        <v>619</v>
      </c>
      <c r="S25" s="151" t="s">
        <v>525</v>
      </c>
      <c r="T25" s="152" t="s">
        <v>622</v>
      </c>
      <c r="U25" s="152" t="s">
        <v>623</v>
      </c>
      <c r="V25" s="152" t="s">
        <v>624</v>
      </c>
      <c r="W25" s="152"/>
      <c r="X25" s="152"/>
      <c r="Y25" s="152"/>
      <c r="Z25" s="152"/>
      <c r="AA25" s="228" t="s">
        <v>463</v>
      </c>
      <c r="AB25" s="156"/>
      <c r="AC25" s="152"/>
      <c r="AD25" s="152"/>
    </row>
    <row r="26" spans="2:30" ht="75" x14ac:dyDescent="0.25">
      <c r="B26" s="233">
        <v>11582</v>
      </c>
      <c r="C26" s="234" t="s">
        <v>630</v>
      </c>
      <c r="D26" s="234" t="s">
        <v>715</v>
      </c>
      <c r="E26" s="233" t="s">
        <v>542</v>
      </c>
      <c r="F26" s="189">
        <f>Tabel15[[#This Row],[Opyldning af lager]]*G8</f>
        <v>246600</v>
      </c>
      <c r="G26" s="190">
        <v>12330</v>
      </c>
      <c r="H26" s="190" t="e">
        <f>+#REF!</f>
        <v>#REF!</v>
      </c>
      <c r="I26" s="191">
        <f>+Tabel1[[#This Row],[stk pr dag]]*$I$7</f>
        <v>0</v>
      </c>
      <c r="J26" s="184" t="e">
        <f>+Tabel15[[#This Row],[Nyt til KG+ SPA]]+Tabel15[[#This Row],[Opyldning af lager]]+Tabel15[[#This Row],[Duge og servietter ]]+Tabel15[[#This Row],[Buffer vurderet]]</f>
        <v>#REF!</v>
      </c>
      <c r="K26" s="190"/>
      <c r="L26" s="190"/>
      <c r="M26" s="151" t="s">
        <v>562</v>
      </c>
      <c r="N26" s="162">
        <v>0.3</v>
      </c>
      <c r="O26" s="162">
        <v>0.3</v>
      </c>
      <c r="P26" s="181">
        <v>360</v>
      </c>
      <c r="Q26" s="165">
        <f>Tabel15[[#This Row],[Vægt (GSM)]]/1000*Tabel15[[#This Row],[Leveret bredde (før vask)]]*Tabel15[[#This Row],[Leveret længde (før vask)]]</f>
        <v>3.2399999999999998E-2</v>
      </c>
      <c r="R26" s="152" t="s">
        <v>649</v>
      </c>
      <c r="S26" s="151" t="s">
        <v>525</v>
      </c>
      <c r="T26" s="152" t="s">
        <v>650</v>
      </c>
      <c r="U26" s="152" t="s">
        <v>636</v>
      </c>
      <c r="V26" s="153" t="s">
        <v>651</v>
      </c>
      <c r="W26" s="153"/>
      <c r="X26" s="153"/>
      <c r="Y26" s="153"/>
      <c r="Z26" s="153"/>
      <c r="AA26" s="228" t="s">
        <v>506</v>
      </c>
      <c r="AB26" s="156"/>
      <c r="AC26" s="152"/>
      <c r="AD26" s="152"/>
    </row>
    <row r="27" spans="2:30" ht="75" x14ac:dyDescent="0.25">
      <c r="B27" s="230">
        <v>11258</v>
      </c>
      <c r="C27" s="230" t="s">
        <v>582</v>
      </c>
      <c r="D27" s="231" t="s">
        <v>711</v>
      </c>
      <c r="E27" s="230" t="s">
        <v>543</v>
      </c>
      <c r="F27" s="184">
        <v>9269</v>
      </c>
      <c r="G27" s="184">
        <f>+Tabel15[[#This Row],[Nyt til KG+ SPA]]/$G$8</f>
        <v>463.45</v>
      </c>
      <c r="H27" s="184" t="e">
        <f>+#REF!</f>
        <v>#REF!</v>
      </c>
      <c r="I27" s="184">
        <v>1620</v>
      </c>
      <c r="J27" s="184" t="e">
        <f>+Tabel15[[#This Row],[Nyt til KG+ SPA]]+Tabel15[[#This Row],[Opyldning af lager]]+Tabel15[[#This Row],[Duge og servietter ]]+Tabel15[[#This Row],[Buffer vurderet]]</f>
        <v>#REF!</v>
      </c>
      <c r="K27" s="184">
        <v>4000</v>
      </c>
      <c r="L27" s="184"/>
      <c r="M27" s="151" t="s">
        <v>562</v>
      </c>
      <c r="N27" s="162">
        <v>1.6</v>
      </c>
      <c r="O27" s="162">
        <v>2.9</v>
      </c>
      <c r="P27" s="181">
        <v>140</v>
      </c>
      <c r="Q27" s="165">
        <f>Tabel15[[#This Row],[Vægt (GSM)]]/1000*Tabel15[[#This Row],[Leveret bredde (før vask)]]*Tabel15[[#This Row],[Leveret længde (før vask)]]</f>
        <v>0.64960000000000007</v>
      </c>
      <c r="R27" s="151" t="s">
        <v>561</v>
      </c>
      <c r="S27" s="179" t="s">
        <v>657</v>
      </c>
      <c r="T27" s="151" t="s">
        <v>577</v>
      </c>
      <c r="U27" s="151" t="s">
        <v>577</v>
      </c>
      <c r="V27" s="152"/>
      <c r="W27" s="152"/>
      <c r="X27" s="152"/>
      <c r="Y27" s="152"/>
      <c r="Z27" s="152"/>
      <c r="AA27" s="228" t="s">
        <v>463</v>
      </c>
      <c r="AB27" s="156"/>
      <c r="AC27" s="152"/>
      <c r="AD27" s="152"/>
    </row>
    <row r="28" spans="2:30" ht="75" x14ac:dyDescent="0.25">
      <c r="B28" s="230">
        <v>11700</v>
      </c>
      <c r="C28" s="213" t="s">
        <v>584</v>
      </c>
      <c r="D28" s="231" t="s">
        <v>711</v>
      </c>
      <c r="E28" s="213" t="s">
        <v>659</v>
      </c>
      <c r="F28" s="184">
        <v>2154</v>
      </c>
      <c r="G28" s="184">
        <f>+Tabel15[[#This Row],[Nyt til KG+ SPA]]/$G$8</f>
        <v>107.7</v>
      </c>
      <c r="H28" s="184" t="e">
        <f>+#REF!</f>
        <v>#REF!</v>
      </c>
      <c r="I28" s="191"/>
      <c r="J28" s="184" t="e">
        <f>+Tabel15[[#This Row],[Nyt til KG+ SPA]]+Tabel15[[#This Row],[Opyldning af lager]]+Tabel15[[#This Row],[Duge og servietter ]]+Tabel15[[#This Row],[Buffer vurderet]]</f>
        <v>#REF!</v>
      </c>
      <c r="K28" s="184">
        <v>550</v>
      </c>
      <c r="L28" s="184"/>
      <c r="M28" s="151" t="s">
        <v>562</v>
      </c>
      <c r="N28" s="162">
        <v>2.8</v>
      </c>
      <c r="O28" s="162">
        <v>3</v>
      </c>
      <c r="P28" s="181">
        <v>140</v>
      </c>
      <c r="Q28" s="165">
        <f>Tabel15[[#This Row],[Vægt (GSM)]]/1000*Tabel15[[#This Row],[Leveret bredde (før vask)]]*Tabel15[[#This Row],[Leveret længde (før vask)]]</f>
        <v>1.1760000000000002</v>
      </c>
      <c r="R28" s="151" t="s">
        <v>561</v>
      </c>
      <c r="S28" s="179" t="s">
        <v>657</v>
      </c>
      <c r="T28" s="151" t="s">
        <v>577</v>
      </c>
      <c r="U28" s="151" t="s">
        <v>577</v>
      </c>
      <c r="V28" s="152"/>
      <c r="W28" s="152"/>
      <c r="X28" s="152"/>
      <c r="Y28" s="152"/>
      <c r="Z28" s="152"/>
      <c r="AA28" s="228" t="s">
        <v>463</v>
      </c>
      <c r="AB28" s="156"/>
      <c r="AC28" s="152"/>
      <c r="AD28" s="152"/>
    </row>
    <row r="29" spans="2:30" ht="75" x14ac:dyDescent="0.25">
      <c r="B29" s="230">
        <v>10758</v>
      </c>
      <c r="C29" s="213" t="s">
        <v>660</v>
      </c>
      <c r="D29" s="231" t="s">
        <v>711</v>
      </c>
      <c r="E29" s="213" t="s">
        <v>658</v>
      </c>
      <c r="F29" s="184">
        <v>3154</v>
      </c>
      <c r="G29" s="184">
        <f>+Tabel15[[#This Row],[Nyt til KG+ SPA]]/$G$8</f>
        <v>157.69999999999999</v>
      </c>
      <c r="H29" s="184" t="e">
        <f>+#REF!</f>
        <v>#REF!</v>
      </c>
      <c r="I29" s="191"/>
      <c r="J29" s="184" t="e">
        <f>+Tabel15[[#This Row],[Nyt til KG+ SPA]]+Tabel15[[#This Row],[Opyldning af lager]]+Tabel15[[#This Row],[Duge og servietter ]]+Tabel15[[#This Row],[Buffer vurderet]]</f>
        <v>#REF!</v>
      </c>
      <c r="K29" s="184">
        <v>800</v>
      </c>
      <c r="L29" s="184"/>
      <c r="M29" s="151" t="s">
        <v>562</v>
      </c>
      <c r="N29" s="162">
        <v>2.2999999999999998</v>
      </c>
      <c r="O29" s="162">
        <v>3</v>
      </c>
      <c r="P29" s="181">
        <v>140</v>
      </c>
      <c r="Q29" s="165">
        <f>Tabel15[[#This Row],[Vægt (GSM)]]/1000*Tabel15[[#This Row],[Leveret bredde (før vask)]]*Tabel15[[#This Row],[Leveret længde (før vask)]]</f>
        <v>0.96599999999999997</v>
      </c>
      <c r="R29" s="151" t="s">
        <v>561</v>
      </c>
      <c r="S29" s="179" t="s">
        <v>657</v>
      </c>
      <c r="T29" s="151" t="s">
        <v>577</v>
      </c>
      <c r="U29" s="151" t="s">
        <v>577</v>
      </c>
      <c r="V29" s="152"/>
      <c r="W29" s="152"/>
      <c r="X29" s="152"/>
      <c r="Y29" s="152"/>
      <c r="Z29" s="152"/>
      <c r="AA29" s="228" t="s">
        <v>463</v>
      </c>
      <c r="AB29" s="156"/>
      <c r="AC29" s="152"/>
      <c r="AD29" s="152"/>
    </row>
    <row r="30" spans="2:30" ht="75" x14ac:dyDescent="0.25">
      <c r="B30" s="230">
        <v>11598</v>
      </c>
      <c r="C30" s="235" t="s">
        <v>579</v>
      </c>
      <c r="D30" s="242" t="s">
        <v>723</v>
      </c>
      <c r="E30" s="230" t="s">
        <v>544</v>
      </c>
      <c r="F30" s="184">
        <v>24190</v>
      </c>
      <c r="G30" s="184">
        <f>+Tabel15[[#This Row],[Nyt til KG+ SPA]]/$G$8</f>
        <v>1209.5</v>
      </c>
      <c r="H30" s="184" t="e">
        <f>+#REF!</f>
        <v>#REF!</v>
      </c>
      <c r="I30" s="184">
        <v>3240</v>
      </c>
      <c r="J30" s="184" t="e">
        <f>+Tabel15[[#This Row],[Nyt til KG+ SPA]]+Tabel15[[#This Row],[Opyldning af lager]]+Tabel15[[#This Row],[Duge og servietter ]]+Tabel15[[#This Row],[Buffer vurderet]]</f>
        <v>#REF!</v>
      </c>
      <c r="K30" s="184">
        <v>10000</v>
      </c>
      <c r="L30" s="184"/>
      <c r="M30" s="151" t="s">
        <v>562</v>
      </c>
      <c r="N30" s="162">
        <v>0.65</v>
      </c>
      <c r="O30" s="162">
        <v>0.75</v>
      </c>
      <c r="P30" s="181">
        <v>135</v>
      </c>
      <c r="Q30" s="165">
        <f>Tabel15[[#This Row],[Vægt (GSM)]]/1000*Tabel15[[#This Row],[Leveret bredde (før vask)]]*Tabel15[[#This Row],[Leveret længde (før vask)]]</f>
        <v>6.581250000000001E-2</v>
      </c>
      <c r="R30" s="151" t="s">
        <v>570</v>
      </c>
      <c r="S30" s="151" t="s">
        <v>572</v>
      </c>
      <c r="T30" s="152" t="s">
        <v>573</v>
      </c>
      <c r="U30" s="152" t="s">
        <v>574</v>
      </c>
      <c r="V30" s="152"/>
      <c r="W30" s="152"/>
      <c r="X30" s="152"/>
      <c r="Y30" s="152"/>
      <c r="Z30" s="152"/>
      <c r="AA30" s="228" t="s">
        <v>463</v>
      </c>
      <c r="AB30" s="156"/>
      <c r="AC30" s="152"/>
      <c r="AD30" s="152"/>
    </row>
    <row r="31" spans="2:30" ht="28.5" customHeight="1" x14ac:dyDescent="0.25">
      <c r="B31" s="98"/>
      <c r="C31" s="98"/>
      <c r="D31" s="220"/>
      <c r="E31" s="98"/>
      <c r="F31" s="106" t="e">
        <f>SUBTOTAL(109,Tabel15[Nyt til KG+ SPA])</f>
        <v>#REF!</v>
      </c>
      <c r="G31" s="106" t="e">
        <f>SUBTOTAL(109,Tabel15[Opyldning af lager])</f>
        <v>#REF!</v>
      </c>
      <c r="H31" s="106" t="e">
        <f>SUBTOTAL(109,Tabel15[[Duge og servietter ]])</f>
        <v>#REF!</v>
      </c>
      <c r="I31" s="130"/>
      <c r="J31" s="130"/>
      <c r="K31" s="130"/>
      <c r="L31" s="130"/>
      <c r="M31" s="154"/>
      <c r="N31" s="154"/>
      <c r="O31" s="154"/>
      <c r="P31" s="182"/>
      <c r="Q31" s="166"/>
      <c r="R31" s="154"/>
      <c r="S31" s="154"/>
      <c r="T31" s="155"/>
      <c r="U31" s="155"/>
      <c r="V31" s="155"/>
      <c r="W31" s="155"/>
      <c r="X31" s="155"/>
      <c r="Y31" s="155"/>
      <c r="Z31" s="155"/>
    </row>
    <row r="36" spans="2:17" x14ac:dyDescent="0.25">
      <c r="B36" s="77"/>
      <c r="C36" s="215" t="s">
        <v>682</v>
      </c>
      <c r="D36" s="226"/>
      <c r="H36" s="77"/>
      <c r="I36"/>
      <c r="J36"/>
      <c r="K36"/>
      <c r="L36"/>
      <c r="N36" s="127"/>
      <c r="O36" s="127"/>
      <c r="P36"/>
      <c r="Q36" s="40"/>
    </row>
    <row r="37" spans="2:17" x14ac:dyDescent="0.25">
      <c r="B37" s="77"/>
      <c r="H37" s="77"/>
      <c r="I37"/>
      <c r="J37"/>
      <c r="K37"/>
      <c r="L37"/>
      <c r="N37" s="127"/>
      <c r="O37" s="127"/>
      <c r="P37"/>
      <c r="Q37" s="40"/>
    </row>
    <row r="38" spans="2:17" x14ac:dyDescent="0.25">
      <c r="B38" s="77"/>
      <c r="C38" s="24" t="s">
        <v>693</v>
      </c>
      <c r="D38" s="121"/>
      <c r="H38" s="77"/>
      <c r="I38"/>
      <c r="J38"/>
      <c r="K38"/>
      <c r="L38"/>
      <c r="N38" s="127"/>
      <c r="O38" s="127"/>
      <c r="P38"/>
      <c r="Q38" s="40"/>
    </row>
    <row r="39" spans="2:17" x14ac:dyDescent="0.25">
      <c r="B39" s="77"/>
      <c r="C39" s="24" t="s">
        <v>684</v>
      </c>
      <c r="D39" s="121"/>
      <c r="H39" s="77"/>
      <c r="I39"/>
      <c r="J39"/>
      <c r="K39"/>
      <c r="L39"/>
      <c r="N39" s="127"/>
      <c r="O39" s="127"/>
      <c r="P39"/>
      <c r="Q39" s="40"/>
    </row>
    <row r="40" spans="2:17" x14ac:dyDescent="0.25">
      <c r="B40" s="77"/>
      <c r="C40" s="24" t="s">
        <v>694</v>
      </c>
      <c r="D40" s="121"/>
      <c r="H40" s="77"/>
      <c r="I40"/>
      <c r="J40"/>
      <c r="K40"/>
      <c r="L40"/>
      <c r="N40" s="127"/>
      <c r="O40" s="127"/>
      <c r="P40"/>
      <c r="Q40" s="40"/>
    </row>
    <row r="41" spans="2:17" x14ac:dyDescent="0.25">
      <c r="B41" s="77"/>
      <c r="C41" s="24" t="s">
        <v>695</v>
      </c>
      <c r="D41" s="121"/>
      <c r="H41" s="77"/>
      <c r="I41"/>
      <c r="J41"/>
      <c r="K41"/>
      <c r="L41"/>
      <c r="N41" s="127"/>
      <c r="O41" s="127"/>
      <c r="P41"/>
      <c r="Q41" s="40"/>
    </row>
    <row r="42" spans="2:17" x14ac:dyDescent="0.25">
      <c r="B42" s="77"/>
      <c r="H42" s="77"/>
      <c r="I42"/>
      <c r="J42"/>
      <c r="K42"/>
      <c r="L42"/>
      <c r="N42" s="127"/>
      <c r="O42" s="127"/>
      <c r="P42"/>
      <c r="Q42" s="40"/>
    </row>
    <row r="43" spans="2:17" x14ac:dyDescent="0.25">
      <c r="B43" s="77"/>
      <c r="H43" s="77"/>
      <c r="I43"/>
      <c r="J43"/>
      <c r="K43"/>
      <c r="L43"/>
      <c r="N43" s="127"/>
      <c r="O43" s="127"/>
      <c r="P43"/>
      <c r="Q43" s="40"/>
    </row>
    <row r="44" spans="2:17" x14ac:dyDescent="0.25">
      <c r="B44" s="77"/>
      <c r="C44" s="160" t="s">
        <v>674</v>
      </c>
      <c r="D44" s="227"/>
      <c r="H44" s="77"/>
      <c r="I44"/>
      <c r="J44"/>
      <c r="K44"/>
      <c r="L44"/>
      <c r="N44" s="127"/>
      <c r="O44" s="127"/>
      <c r="P44"/>
      <c r="Q44" s="40"/>
    </row>
    <row r="45" spans="2:17" x14ac:dyDescent="0.25">
      <c r="B45" s="77"/>
      <c r="H45" s="77"/>
      <c r="I45"/>
      <c r="J45"/>
      <c r="K45"/>
      <c r="L45"/>
      <c r="N45" s="127"/>
      <c r="O45" s="127"/>
      <c r="P45"/>
      <c r="Q45" s="40"/>
    </row>
    <row r="46" spans="2:17" x14ac:dyDescent="0.25">
      <c r="B46" s="121" t="s">
        <v>686</v>
      </c>
      <c r="C46" s="24" t="s">
        <v>675</v>
      </c>
      <c r="D46" s="121"/>
      <c r="H46" s="77"/>
      <c r="I46"/>
      <c r="J46"/>
      <c r="K46"/>
      <c r="L46"/>
      <c r="N46" s="127"/>
      <c r="O46" s="127"/>
      <c r="P46"/>
      <c r="Q46" s="40"/>
    </row>
    <row r="47" spans="2:17" x14ac:dyDescent="0.25">
      <c r="B47" s="77"/>
      <c r="C47" s="24" t="s">
        <v>676</v>
      </c>
      <c r="D47" s="121"/>
      <c r="H47" s="77"/>
      <c r="I47"/>
      <c r="J47"/>
      <c r="K47"/>
      <c r="L47"/>
      <c r="N47" s="127"/>
      <c r="O47" s="127"/>
      <c r="P47"/>
      <c r="Q47" s="40"/>
    </row>
    <row r="48" spans="2:17" x14ac:dyDescent="0.25">
      <c r="B48" s="77"/>
      <c r="H48" s="77"/>
      <c r="I48"/>
      <c r="J48"/>
      <c r="K48"/>
      <c r="L48"/>
      <c r="N48" s="127"/>
      <c r="O48" s="127"/>
      <c r="P48"/>
      <c r="Q48" s="40"/>
    </row>
    <row r="49" spans="2:17" x14ac:dyDescent="0.25">
      <c r="B49" s="121" t="s">
        <v>687</v>
      </c>
      <c r="C49" s="24" t="s">
        <v>677</v>
      </c>
      <c r="D49" s="121"/>
      <c r="H49" s="77"/>
      <c r="I49"/>
      <c r="J49"/>
      <c r="K49"/>
      <c r="L49"/>
      <c r="N49" s="127"/>
      <c r="O49" s="127"/>
      <c r="P49"/>
      <c r="Q49" s="40"/>
    </row>
    <row r="50" spans="2:17" x14ac:dyDescent="0.25">
      <c r="B50" s="77"/>
      <c r="H50" s="77"/>
      <c r="I50"/>
      <c r="J50"/>
      <c r="K50"/>
      <c r="L50"/>
      <c r="N50" s="127"/>
      <c r="O50" s="127"/>
      <c r="P50"/>
      <c r="Q50" s="40"/>
    </row>
    <row r="51" spans="2:17" x14ac:dyDescent="0.25">
      <c r="B51" s="121" t="s">
        <v>688</v>
      </c>
      <c r="C51" s="24" t="s">
        <v>678</v>
      </c>
      <c r="D51" s="121"/>
      <c r="H51" s="77"/>
      <c r="I51"/>
      <c r="J51"/>
      <c r="K51"/>
      <c r="L51"/>
      <c r="N51" s="127"/>
      <c r="O51" s="127"/>
      <c r="P51"/>
      <c r="Q51" s="40"/>
    </row>
    <row r="52" spans="2:17" x14ac:dyDescent="0.25">
      <c r="B52" s="77"/>
      <c r="H52" s="77"/>
      <c r="I52"/>
      <c r="J52"/>
      <c r="K52"/>
      <c r="L52"/>
      <c r="N52" s="127"/>
      <c r="O52" s="127"/>
      <c r="P52"/>
      <c r="Q52" s="40"/>
    </row>
    <row r="53" spans="2:17" x14ac:dyDescent="0.25">
      <c r="B53" s="121" t="s">
        <v>690</v>
      </c>
      <c r="C53" s="24" t="s">
        <v>679</v>
      </c>
      <c r="D53" s="121"/>
      <c r="H53" s="77"/>
      <c r="I53"/>
      <c r="J53"/>
      <c r="K53"/>
      <c r="L53"/>
      <c r="N53" s="127"/>
      <c r="O53" s="127"/>
      <c r="P53"/>
      <c r="Q53" s="40"/>
    </row>
    <row r="54" spans="2:17" x14ac:dyDescent="0.25">
      <c r="B54" s="77"/>
      <c r="H54" s="77"/>
      <c r="I54"/>
      <c r="J54"/>
      <c r="K54"/>
      <c r="L54"/>
      <c r="N54" s="127"/>
      <c r="O54" s="127"/>
      <c r="P54"/>
      <c r="Q54" s="40"/>
    </row>
    <row r="55" spans="2:17" x14ac:dyDescent="0.25">
      <c r="B55" s="121" t="s">
        <v>689</v>
      </c>
      <c r="C55" s="24" t="s">
        <v>680</v>
      </c>
      <c r="D55" s="121"/>
      <c r="H55" s="77"/>
      <c r="I55"/>
      <c r="J55"/>
      <c r="K55"/>
      <c r="L55"/>
      <c r="N55" s="127"/>
      <c r="O55" s="127"/>
      <c r="P55"/>
      <c r="Q55" s="40"/>
    </row>
    <row r="56" spans="2:17" x14ac:dyDescent="0.25">
      <c r="B56" s="77"/>
      <c r="H56" s="77"/>
      <c r="I56"/>
      <c r="J56"/>
      <c r="K56"/>
      <c r="L56"/>
      <c r="N56" s="127"/>
      <c r="O56" s="127"/>
      <c r="P56"/>
      <c r="Q56" s="40"/>
    </row>
    <row r="57" spans="2:17" x14ac:dyDescent="0.25">
      <c r="B57" s="121"/>
      <c r="C57" s="24" t="s">
        <v>681</v>
      </c>
      <c r="D57" s="121"/>
      <c r="H57" s="77"/>
      <c r="I57"/>
      <c r="J57"/>
      <c r="K57"/>
      <c r="L57"/>
      <c r="N57" s="127"/>
      <c r="O57" s="127"/>
      <c r="P57"/>
      <c r="Q57" s="40"/>
    </row>
    <row r="58" spans="2:17" x14ac:dyDescent="0.25">
      <c r="B58" s="77"/>
      <c r="H58" s="77"/>
      <c r="I58"/>
      <c r="J58"/>
      <c r="K58"/>
      <c r="L58"/>
      <c r="N58" s="127"/>
      <c r="O58" s="127"/>
      <c r="P58"/>
      <c r="Q58" s="40"/>
    </row>
    <row r="59" spans="2:17" x14ac:dyDescent="0.25">
      <c r="B59" s="121" t="s">
        <v>691</v>
      </c>
      <c r="C59" s="24" t="s">
        <v>692</v>
      </c>
      <c r="D59" s="121"/>
      <c r="H59" s="77"/>
      <c r="I59"/>
      <c r="J59"/>
      <c r="K59"/>
      <c r="L59"/>
      <c r="N59" s="127"/>
      <c r="O59" s="127"/>
      <c r="P59"/>
      <c r="Q59" s="40"/>
    </row>
    <row r="60" spans="2:17" x14ac:dyDescent="0.25">
      <c r="B60" s="77"/>
      <c r="H60" s="77"/>
      <c r="I60"/>
      <c r="J60"/>
      <c r="K60"/>
      <c r="L60"/>
      <c r="N60" s="127"/>
      <c r="O60" s="127"/>
      <c r="P60"/>
      <c r="Q60" s="40"/>
    </row>
    <row r="61" spans="2:17" x14ac:dyDescent="0.25">
      <c r="B61" s="77"/>
      <c r="H61" s="77"/>
      <c r="I61"/>
      <c r="J61"/>
      <c r="K61"/>
      <c r="L61"/>
      <c r="N61" s="127"/>
      <c r="O61" s="127"/>
      <c r="P61"/>
      <c r="Q61" s="40"/>
    </row>
  </sheetData>
  <mergeCells count="1">
    <mergeCell ref="E1:E2"/>
  </mergeCells>
  <phoneticPr fontId="22" type="noConversion"/>
  <conditionalFormatting sqref="AA10:AA30">
    <cfRule type="cellIs" dxfId="5" priority="1" operator="equal">
      <formula>"nej"</formula>
    </cfRule>
    <cfRule type="cellIs" dxfId="4" priority="2" operator="equal">
      <formula>"ja"</formula>
    </cfRule>
  </conditionalFormatting>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043E-64C3-4040-B874-32F64E211489}">
  <dimension ref="A1:U241"/>
  <sheetViews>
    <sheetView workbookViewId="0"/>
  </sheetViews>
  <sheetFormatPr defaultRowHeight="15" x14ac:dyDescent="0.25"/>
  <cols>
    <col min="1" max="1" width="11.7109375" style="77" customWidth="1"/>
    <col min="2" max="2" width="44.140625" customWidth="1"/>
    <col min="3" max="3" width="8.140625" customWidth="1"/>
    <col min="4" max="4" width="10.85546875" bestFit="1" customWidth="1"/>
    <col min="5" max="5" width="34.85546875" customWidth="1"/>
    <col min="6" max="6" width="8.7109375" style="77" customWidth="1"/>
    <col min="7" max="7" width="34.85546875" customWidth="1"/>
    <col min="8" max="8" width="21.42578125" customWidth="1"/>
    <col min="9" max="9" width="11.85546875" bestFit="1" customWidth="1"/>
    <col min="10" max="10" width="11.5703125" customWidth="1"/>
    <col min="11" max="11" width="18.28515625" customWidth="1"/>
    <col min="12" max="13" width="18.28515625" style="127" customWidth="1"/>
    <col min="14" max="14" width="17.5703125" customWidth="1"/>
    <col min="15" max="15" width="14.7109375" style="40" bestFit="1" customWidth="1"/>
    <col min="16" max="16" width="12.5703125" style="40" customWidth="1"/>
    <col min="17" max="17" width="31.28515625" bestFit="1" customWidth="1"/>
    <col min="18" max="18" width="16.85546875" customWidth="1"/>
    <col min="19" max="19" width="17.5703125" customWidth="1"/>
    <col min="20" max="20" width="17" customWidth="1"/>
  </cols>
  <sheetData>
    <row r="1" spans="1:20" ht="39" x14ac:dyDescent="0.6">
      <c r="A1" s="123" t="s">
        <v>508</v>
      </c>
    </row>
    <row r="2" spans="1:20" x14ac:dyDescent="0.25">
      <c r="K2" s="134" t="s">
        <v>512</v>
      </c>
      <c r="L2" s="134" t="s">
        <v>512</v>
      </c>
      <c r="N2" s="133" t="s">
        <v>511</v>
      </c>
    </row>
    <row r="3" spans="1:20" x14ac:dyDescent="0.25">
      <c r="B3" s="122" t="s">
        <v>201</v>
      </c>
      <c r="K3" s="137" t="s">
        <v>513</v>
      </c>
      <c r="L3" s="139" t="s">
        <v>515</v>
      </c>
      <c r="N3" s="131" t="s">
        <v>516</v>
      </c>
      <c r="P3" s="87"/>
    </row>
    <row r="4" spans="1:20" ht="26.25" x14ac:dyDescent="0.4">
      <c r="B4" t="s">
        <v>501</v>
      </c>
      <c r="C4" s="136"/>
      <c r="I4" t="s">
        <v>198</v>
      </c>
      <c r="J4">
        <v>5</v>
      </c>
      <c r="R4" s="112" t="s">
        <v>496</v>
      </c>
      <c r="T4" s="118" t="s">
        <v>502</v>
      </c>
    </row>
    <row r="5" spans="1:20" x14ac:dyDescent="0.25">
      <c r="I5" t="s">
        <v>212</v>
      </c>
      <c r="J5">
        <v>20</v>
      </c>
      <c r="N5" s="86" t="s">
        <v>211</v>
      </c>
      <c r="T5" s="87">
        <v>0.56000000000000005</v>
      </c>
    </row>
    <row r="6" spans="1:20" ht="46.5" customHeight="1" x14ac:dyDescent="0.25">
      <c r="A6" s="120" t="s">
        <v>505</v>
      </c>
      <c r="B6" s="95" t="s">
        <v>461</v>
      </c>
      <c r="C6" s="95" t="s">
        <v>462</v>
      </c>
      <c r="D6" s="96" t="s">
        <v>206</v>
      </c>
      <c r="E6" s="96" t="s">
        <v>459</v>
      </c>
      <c r="F6" s="216" t="s">
        <v>683</v>
      </c>
      <c r="G6" s="205" t="s">
        <v>653</v>
      </c>
      <c r="H6" s="96" t="s">
        <v>460</v>
      </c>
      <c r="I6" s="96" t="s">
        <v>214</v>
      </c>
      <c r="J6" s="96" t="s">
        <v>195</v>
      </c>
      <c r="K6" s="96" t="s">
        <v>215</v>
      </c>
      <c r="L6" s="128" t="s">
        <v>510</v>
      </c>
      <c r="M6" s="128" t="s">
        <v>509</v>
      </c>
      <c r="N6" s="96" t="s">
        <v>209</v>
      </c>
      <c r="O6" s="109" t="s">
        <v>210</v>
      </c>
      <c r="P6" s="109" t="s">
        <v>290</v>
      </c>
      <c r="Q6" s="96" t="s">
        <v>518</v>
      </c>
      <c r="R6" s="96" t="s">
        <v>291</v>
      </c>
      <c r="S6" s="96" t="s">
        <v>292</v>
      </c>
      <c r="T6" s="97" t="s">
        <v>294</v>
      </c>
    </row>
    <row r="7" spans="1:20" ht="19.5" hidden="1" customHeight="1" x14ac:dyDescent="0.25">
      <c r="B7" s="90" t="s">
        <v>333</v>
      </c>
      <c r="C7" s="90" t="s">
        <v>465</v>
      </c>
      <c r="D7" s="91" t="s">
        <v>199</v>
      </c>
      <c r="E7" s="91" t="s">
        <v>13</v>
      </c>
      <c r="F7" s="217"/>
      <c r="G7" s="91"/>
      <c r="H7" s="91"/>
      <c r="I7" s="91">
        <v>1705</v>
      </c>
      <c r="J7" s="91">
        <f>+Tabel1[[#This Row],[Stk i juli]]/$J$5</f>
        <v>85.25</v>
      </c>
      <c r="K7" s="91">
        <f>+Tabel1[[#This Row],[stk pr dag]]*$J$4</f>
        <v>426.25</v>
      </c>
      <c r="L7" s="124"/>
      <c r="M7" s="124">
        <f>Tabel1[[#This Row],[stk 5 dage buffer ]]+Tabel1[[#This Row],[G&amp;V Klaksvik
Par 10 ]]</f>
        <v>426.25</v>
      </c>
      <c r="N7" s="91"/>
      <c r="O7" s="104">
        <f>+Tabel1[[#This Row],[stk 5 dage buffer ]]*Tabel1[[#This Row],[inkøbspris pr stk]]</f>
        <v>0</v>
      </c>
      <c r="P7" s="104"/>
      <c r="Q7" s="91"/>
      <c r="R7" s="91"/>
      <c r="S7" s="91"/>
      <c r="T7" s="92">
        <v>0</v>
      </c>
    </row>
    <row r="8" spans="1:20" ht="19.5" customHeight="1" x14ac:dyDescent="0.25">
      <c r="A8" s="121" t="s">
        <v>463</v>
      </c>
      <c r="B8" s="100" t="s">
        <v>345</v>
      </c>
      <c r="C8" s="90" t="s">
        <v>463</v>
      </c>
      <c r="D8" s="91" t="s">
        <v>200</v>
      </c>
      <c r="E8" s="91" t="s">
        <v>29</v>
      </c>
      <c r="F8" s="206">
        <v>22</v>
      </c>
      <c r="G8" s="90" t="s">
        <v>249</v>
      </c>
      <c r="H8" s="91" t="s">
        <v>305</v>
      </c>
      <c r="I8" s="124">
        <v>8016</v>
      </c>
      <c r="J8" s="124">
        <f>+Tabel1[[#This Row],[Stk i juli]]/$J$5</f>
        <v>400.8</v>
      </c>
      <c r="K8" s="124">
        <f>+Tabel1[[#This Row],[stk pr dag]]*$J$4</f>
        <v>2004</v>
      </c>
      <c r="L8" s="126"/>
      <c r="M8" s="124">
        <f>Tabel1[[#This Row],[stk 5 dage buffer ]]+Tabel1[[#This Row],[G&amp;V Klaksvik
Par 10 ]]</f>
        <v>2004</v>
      </c>
      <c r="N8" s="132">
        <v>17.09</v>
      </c>
      <c r="O8" s="104">
        <f>+Tabel1[[#This Row],[stk 5 dage buffer ]]*Tabel1[[#This Row],[inkøbspris pr stk]]</f>
        <v>34248.36</v>
      </c>
      <c r="P8" s="104">
        <f>0.68*0.5*0.7</f>
        <v>0.23799999999999999</v>
      </c>
      <c r="Q8" s="91"/>
      <c r="R8" s="114">
        <v>75</v>
      </c>
      <c r="S8" s="107">
        <f>+Tabel1[[#This Row],[stk 5 dage buffer ]]/Tabel1[[#This Row],[stk pr container]]</f>
        <v>26.72</v>
      </c>
      <c r="T8" s="108">
        <f t="shared" ref="T8:T9" si="0">IF(S8=0,0,S8*$T$5)</f>
        <v>14.963200000000001</v>
      </c>
    </row>
    <row r="9" spans="1:20" ht="30" x14ac:dyDescent="0.25">
      <c r="A9" s="121" t="s">
        <v>463</v>
      </c>
      <c r="B9" s="148" t="s">
        <v>517</v>
      </c>
      <c r="C9" s="90" t="s">
        <v>463</v>
      </c>
      <c r="D9" s="91" t="s">
        <v>204</v>
      </c>
      <c r="E9" s="91" t="s">
        <v>101</v>
      </c>
      <c r="F9" s="206">
        <v>12</v>
      </c>
      <c r="G9" s="90" t="s">
        <v>597</v>
      </c>
      <c r="H9" s="91" t="s">
        <v>324</v>
      </c>
      <c r="I9" s="124">
        <v>621</v>
      </c>
      <c r="J9" s="124">
        <f>+Tabel1[[#This Row],[Stk i juli]]/$J$5</f>
        <v>31.05</v>
      </c>
      <c r="K9" s="124">
        <f>+Tabel1[[#This Row],[stk pr dag]]*$J$4</f>
        <v>155.25</v>
      </c>
      <c r="L9" s="124">
        <v>400</v>
      </c>
      <c r="M9" s="124">
        <f>Tabel1[[#This Row],[stk 5 dage buffer ]]+Tabel1[[#This Row],[G&amp;V Klaksvik
Par 10 ]]</f>
        <v>555.25</v>
      </c>
      <c r="N9" s="132">
        <v>22</v>
      </c>
      <c r="O9" s="104">
        <f>+Tabel1[[#This Row],[stk 5 dage buffer ]]*Tabel1[[#This Row],[inkøbspris pr stk]]</f>
        <v>3415.5</v>
      </c>
      <c r="P9" s="104">
        <f>0.215*(1.4*2)</f>
        <v>0.60199999999999998</v>
      </c>
      <c r="Q9" s="91"/>
      <c r="R9" s="114">
        <v>250</v>
      </c>
      <c r="S9" s="107">
        <f>+Tabel1[[#This Row],[stk 5 dage buffer ]]/Tabel1[[#This Row],[stk pr container]]</f>
        <v>0.621</v>
      </c>
      <c r="T9" s="108">
        <f t="shared" si="0"/>
        <v>0.34776000000000001</v>
      </c>
    </row>
    <row r="10" spans="1:20" ht="19.5" hidden="1" customHeight="1" x14ac:dyDescent="0.25">
      <c r="B10" s="90" t="s">
        <v>336</v>
      </c>
      <c r="C10" s="90" t="s">
        <v>465</v>
      </c>
      <c r="D10" s="91" t="s">
        <v>202</v>
      </c>
      <c r="E10" s="91" t="s">
        <v>16</v>
      </c>
      <c r="F10" s="217"/>
      <c r="G10" s="91"/>
      <c r="H10" s="91" t="s">
        <v>329</v>
      </c>
      <c r="I10" s="104">
        <v>17100</v>
      </c>
      <c r="J10" s="104">
        <f>+Tabel1[[#This Row],[Stk i juli]]/$J$5</f>
        <v>855</v>
      </c>
      <c r="K10" s="104">
        <f>+Tabel1[[#This Row],[stk pr dag]]*$J$4</f>
        <v>4275</v>
      </c>
      <c r="L10" s="124"/>
      <c r="M10" s="124">
        <f>Tabel1[[#This Row],[stk 5 dage buffer ]]+Tabel1[[#This Row],[G&amp;V Klaksvik
Par 10 ]]</f>
        <v>4275</v>
      </c>
      <c r="N10" s="91"/>
      <c r="O10" s="104">
        <f>+Tabel1[[#This Row],[stk 5 dage buffer ]]*Tabel1[[#This Row],[inkøbspris pr stk]]</f>
        <v>0</v>
      </c>
      <c r="P10" s="104"/>
      <c r="Q10" s="91"/>
      <c r="R10" s="91"/>
      <c r="S10" s="91"/>
      <c r="T10" s="92"/>
    </row>
    <row r="11" spans="1:20" ht="19.5" hidden="1" customHeight="1" x14ac:dyDescent="0.25">
      <c r="B11" s="90" t="s">
        <v>330</v>
      </c>
      <c r="C11" s="90" t="s">
        <v>465</v>
      </c>
      <c r="D11" s="91" t="s">
        <v>202</v>
      </c>
      <c r="E11" s="91" t="s">
        <v>17</v>
      </c>
      <c r="F11" s="217"/>
      <c r="G11" s="91"/>
      <c r="H11" s="91" t="s">
        <v>330</v>
      </c>
      <c r="I11" s="104">
        <v>13440</v>
      </c>
      <c r="J11" s="104">
        <f>+Tabel1[[#This Row],[Stk i juli]]/$J$5</f>
        <v>672</v>
      </c>
      <c r="K11" s="104">
        <f>+Tabel1[[#This Row],[stk pr dag]]*$J$4</f>
        <v>3360</v>
      </c>
      <c r="L11" s="124"/>
      <c r="M11" s="124">
        <f>Tabel1[[#This Row],[stk 5 dage buffer ]]+Tabel1[[#This Row],[G&amp;V Klaksvik
Par 10 ]]</f>
        <v>3360</v>
      </c>
      <c r="N11" s="91"/>
      <c r="O11" s="104">
        <f>+Tabel1[[#This Row],[stk 5 dage buffer ]]*Tabel1[[#This Row],[inkøbspris pr stk]]</f>
        <v>0</v>
      </c>
      <c r="P11" s="104"/>
      <c r="Q11" s="91"/>
      <c r="R11" s="91"/>
      <c r="S11" s="91"/>
      <c r="T11" s="92"/>
    </row>
    <row r="12" spans="1:20" ht="19.5" customHeight="1" x14ac:dyDescent="0.25">
      <c r="A12" s="121" t="s">
        <v>463</v>
      </c>
      <c r="B12" s="100" t="s">
        <v>379</v>
      </c>
      <c r="C12" s="90" t="s">
        <v>463</v>
      </c>
      <c r="D12" s="91" t="s">
        <v>204</v>
      </c>
      <c r="E12" s="91" t="s">
        <v>102</v>
      </c>
      <c r="F12" s="206">
        <v>10</v>
      </c>
      <c r="G12" s="90" t="s">
        <v>589</v>
      </c>
      <c r="H12" s="91" t="s">
        <v>325</v>
      </c>
      <c r="I12" s="124">
        <v>934</v>
      </c>
      <c r="J12" s="124">
        <f>+Tabel1[[#This Row],[Stk i juli]]/$J$5</f>
        <v>46.7</v>
      </c>
      <c r="K12" s="124">
        <f>+Tabel1[[#This Row],[stk pr dag]]*$J$4</f>
        <v>233.5</v>
      </c>
      <c r="L12" s="124">
        <v>600</v>
      </c>
      <c r="M12" s="124">
        <f>Tabel1[[#This Row],[stk 5 dage buffer ]]+Tabel1[[#This Row],[G&amp;V Klaksvik
Par 10 ]]</f>
        <v>833.5</v>
      </c>
      <c r="N12" s="132">
        <v>42.65</v>
      </c>
      <c r="O12" s="104">
        <f>+Tabel1[[#This Row],[stk 5 dage buffer ]]*Tabel1[[#This Row],[inkøbspris pr stk]]</f>
        <v>9958.7749999999996</v>
      </c>
      <c r="P12" s="104">
        <f>0.215*(1.4*1)</f>
        <v>0.30099999999999999</v>
      </c>
      <c r="Q12" s="91"/>
      <c r="R12" s="114">
        <v>180</v>
      </c>
      <c r="S12" s="107">
        <f>+Tabel1[[#This Row],[stk 5 dage buffer ]]/Tabel1[[#This Row],[stk pr container]]</f>
        <v>1.2972222222222223</v>
      </c>
      <c r="T12" s="108">
        <f t="shared" ref="T12" si="1">IF(S12=0,0,S12*$T$5)</f>
        <v>0.72644444444444456</v>
      </c>
    </row>
    <row r="13" spans="1:20" ht="19.5" hidden="1" customHeight="1" x14ac:dyDescent="0.25">
      <c r="B13" s="90" t="s">
        <v>337</v>
      </c>
      <c r="C13" s="90" t="s">
        <v>465</v>
      </c>
      <c r="D13" s="91" t="s">
        <v>202</v>
      </c>
      <c r="E13" s="91" t="s">
        <v>19</v>
      </c>
      <c r="F13" s="217"/>
      <c r="G13" s="91"/>
      <c r="H13" s="91" t="s">
        <v>331</v>
      </c>
      <c r="I13" s="104">
        <v>16890</v>
      </c>
      <c r="J13" s="104">
        <f>+Tabel1[[#This Row],[Stk i juli]]/$J$5</f>
        <v>844.5</v>
      </c>
      <c r="K13" s="104">
        <f>+Tabel1[[#This Row],[stk pr dag]]*$J$4</f>
        <v>4222.5</v>
      </c>
      <c r="L13" s="124"/>
      <c r="M13" s="124">
        <f>Tabel1[[#This Row],[stk 5 dage buffer ]]+Tabel1[[#This Row],[G&amp;V Klaksvik
Par 10 ]]</f>
        <v>4222.5</v>
      </c>
      <c r="N13" s="91"/>
      <c r="O13" s="104">
        <f>+Tabel1[[#This Row],[stk 5 dage buffer ]]*Tabel1[[#This Row],[inkøbspris pr stk]]</f>
        <v>0</v>
      </c>
      <c r="P13" s="104"/>
      <c r="Q13" s="91"/>
      <c r="R13" s="91"/>
      <c r="S13" s="91"/>
      <c r="T13" s="92"/>
    </row>
    <row r="14" spans="1:20" ht="19.5" hidden="1" customHeight="1" x14ac:dyDescent="0.25">
      <c r="A14" s="121" t="s">
        <v>299</v>
      </c>
      <c r="B14" s="100" t="s">
        <v>380</v>
      </c>
      <c r="C14" s="100" t="s">
        <v>465</v>
      </c>
      <c r="D14" s="91" t="s">
        <v>204</v>
      </c>
      <c r="E14" s="91" t="s">
        <v>103</v>
      </c>
      <c r="F14" s="217"/>
      <c r="G14" s="91"/>
      <c r="H14" s="91" t="s">
        <v>491</v>
      </c>
      <c r="I14" s="124">
        <v>465</v>
      </c>
      <c r="J14" s="124">
        <f>+Tabel1[[#This Row],[Stk i juli]]/$J$5</f>
        <v>23.25</v>
      </c>
      <c r="K14" s="124">
        <f>+Tabel1[[#This Row],[stk pr dag]]*$J$4</f>
        <v>116.25</v>
      </c>
      <c r="L14" s="126"/>
      <c r="M14" s="124">
        <f>Tabel1[[#This Row],[stk 5 dage buffer ]]+Tabel1[[#This Row],[G&amp;V Klaksvik
Par 10 ]]</f>
        <v>116.25</v>
      </c>
      <c r="N14" s="132">
        <v>51.54</v>
      </c>
      <c r="O14" s="104">
        <f>+Tabel1[[#This Row],[stk 5 dage buffer ]]*Tabel1[[#This Row],[inkøbspris pr stk]]</f>
        <v>5991.5249999999996</v>
      </c>
      <c r="P14" s="104">
        <f>0.215*(1.4*2.4)</f>
        <v>0.72239999999999993</v>
      </c>
      <c r="Q14" s="91"/>
      <c r="R14" s="114">
        <v>180</v>
      </c>
      <c r="S14" s="107">
        <f>+Tabel1[[#This Row],[stk 5 dage buffer ]]/Tabel1[[#This Row],[stk pr container]]</f>
        <v>0.64583333333333337</v>
      </c>
      <c r="T14" s="108">
        <f t="shared" ref="T14:T16" si="2">IF(S14=0,0,S14*$T$5)</f>
        <v>0.36166666666666675</v>
      </c>
    </row>
    <row r="15" spans="1:20" ht="19.5" customHeight="1" x14ac:dyDescent="0.25">
      <c r="A15" s="121" t="s">
        <v>463</v>
      </c>
      <c r="B15" s="100" t="s">
        <v>377</v>
      </c>
      <c r="C15" s="90" t="s">
        <v>463</v>
      </c>
      <c r="D15" s="91" t="s">
        <v>204</v>
      </c>
      <c r="E15" s="91" t="s">
        <v>98</v>
      </c>
      <c r="F15" s="206">
        <v>13</v>
      </c>
      <c r="G15" s="208" t="s">
        <v>601</v>
      </c>
      <c r="H15" s="101" t="s">
        <v>492</v>
      </c>
      <c r="I15" s="124">
        <v>85</v>
      </c>
      <c r="J15" s="124">
        <f>+Tabel1[[#This Row],[Stk i juli]]/$J$5</f>
        <v>4.25</v>
      </c>
      <c r="K15" s="138">
        <f>+Tabel1[[#This Row],[stk pr dag]]*$J$4</f>
        <v>21.25</v>
      </c>
      <c r="L15" s="126"/>
      <c r="M15" s="124">
        <f>Tabel1[[#This Row],[stk 5 dage buffer ]]+Tabel1[[#This Row],[G&amp;V Klaksvik
Par 10 ]]</f>
        <v>21.25</v>
      </c>
      <c r="N15" s="132">
        <v>65</v>
      </c>
      <c r="O15" s="104">
        <f>+Tabel1[[#This Row],[stk 5 dage buffer ]]*Tabel1[[#This Row],[inkøbspris pr stk]]</f>
        <v>1381.25</v>
      </c>
      <c r="P15" s="104">
        <f>0.215*(1.5*1.5)</f>
        <v>0.48375000000000001</v>
      </c>
      <c r="Q15" s="91"/>
      <c r="R15" s="114">
        <v>150</v>
      </c>
      <c r="S15" s="107">
        <f>+Tabel1[[#This Row],[stk 5 dage buffer ]]/Tabel1[[#This Row],[stk pr container]]</f>
        <v>0.14166666666666666</v>
      </c>
      <c r="T15" s="108">
        <f t="shared" si="2"/>
        <v>7.9333333333333339E-2</v>
      </c>
    </row>
    <row r="16" spans="1:20" ht="19.5" customHeight="1" x14ac:dyDescent="0.25">
      <c r="A16" s="121" t="s">
        <v>463</v>
      </c>
      <c r="B16" s="100" t="s">
        <v>322</v>
      </c>
      <c r="C16" s="90" t="s">
        <v>463</v>
      </c>
      <c r="D16" s="91" t="s">
        <v>204</v>
      </c>
      <c r="E16" s="91" t="s">
        <v>99</v>
      </c>
      <c r="F16" s="206">
        <v>14</v>
      </c>
      <c r="G16" s="208" t="s">
        <v>608</v>
      </c>
      <c r="H16" s="101" t="s">
        <v>493</v>
      </c>
      <c r="I16" s="124">
        <v>9</v>
      </c>
      <c r="J16" s="124">
        <f>+Tabel1[[#This Row],[Stk i juli]]/$J$5</f>
        <v>0.45</v>
      </c>
      <c r="K16" s="138">
        <f>+Tabel1[[#This Row],[stk pr dag]]*$J$4</f>
        <v>2.25</v>
      </c>
      <c r="L16" s="126"/>
      <c r="M16" s="124">
        <f>Tabel1[[#This Row],[stk 5 dage buffer ]]+Tabel1[[#This Row],[G&amp;V Klaksvik
Par 10 ]]</f>
        <v>2.25</v>
      </c>
      <c r="N16" s="132">
        <v>80</v>
      </c>
      <c r="O16" s="104">
        <f>+Tabel1[[#This Row],[stk 5 dage buffer ]]*Tabel1[[#This Row],[inkøbspris pr stk]]</f>
        <v>180</v>
      </c>
      <c r="P16" s="104">
        <f>0.215*(1.8*1.8)</f>
        <v>0.6966</v>
      </c>
      <c r="Q16" s="91"/>
      <c r="R16" s="114">
        <v>150</v>
      </c>
      <c r="S16" s="107">
        <f>+Tabel1[[#This Row],[stk 5 dage buffer ]]/Tabel1[[#This Row],[stk pr container]]</f>
        <v>1.4999999999999999E-2</v>
      </c>
      <c r="T16" s="108">
        <f t="shared" si="2"/>
        <v>8.4000000000000012E-3</v>
      </c>
    </row>
    <row r="17" spans="1:21" ht="19.5" hidden="1" customHeight="1" x14ac:dyDescent="0.25">
      <c r="B17" s="90" t="s">
        <v>341</v>
      </c>
      <c r="C17" s="90" t="s">
        <v>465</v>
      </c>
      <c r="D17" s="91" t="s">
        <v>202</v>
      </c>
      <c r="E17" s="91" t="s">
        <v>23</v>
      </c>
      <c r="F17" s="217"/>
      <c r="G17" s="91"/>
      <c r="H17" s="91" t="s">
        <v>303</v>
      </c>
      <c r="I17" s="104">
        <v>202</v>
      </c>
      <c r="J17" s="104">
        <f>+Tabel1[[#This Row],[Stk i juli]]/$J$5</f>
        <v>10.1</v>
      </c>
      <c r="K17" s="104">
        <f>+Tabel1[[#This Row],[stk pr dag]]*$J$4</f>
        <v>50.5</v>
      </c>
      <c r="L17" s="124"/>
      <c r="M17" s="124">
        <f>Tabel1[[#This Row],[stk 5 dage buffer ]]+Tabel1[[#This Row],[G&amp;V Klaksvik
Par 10 ]]</f>
        <v>50.5</v>
      </c>
      <c r="N17" s="91"/>
      <c r="O17" s="104">
        <f>+Tabel1[[#This Row],[stk 5 dage buffer ]]*Tabel1[[#This Row],[inkøbspris pr stk]]</f>
        <v>0</v>
      </c>
      <c r="P17" s="104"/>
      <c r="Q17" s="91"/>
      <c r="R17" s="91"/>
      <c r="S17" s="91"/>
      <c r="T17" s="92"/>
    </row>
    <row r="18" spans="1:21" ht="19.5" hidden="1" customHeight="1" x14ac:dyDescent="0.25">
      <c r="B18" s="99" t="s">
        <v>342</v>
      </c>
      <c r="C18" s="99"/>
      <c r="D18" s="91" t="s">
        <v>200</v>
      </c>
      <c r="E18" s="91" t="s">
        <v>24</v>
      </c>
      <c r="F18" s="217"/>
      <c r="G18" s="91"/>
      <c r="H18" s="91" t="s">
        <v>303</v>
      </c>
      <c r="I18" s="104">
        <v>7</v>
      </c>
      <c r="J18" s="104">
        <f>+Tabel1[[#This Row],[Stk i juli]]/$J$5</f>
        <v>0.35</v>
      </c>
      <c r="K18" s="104">
        <f>+Tabel1[[#This Row],[stk pr dag]]*$J$4</f>
        <v>1.75</v>
      </c>
      <c r="L18" s="124"/>
      <c r="M18" s="124">
        <f>Tabel1[[#This Row],[stk 5 dage buffer ]]+Tabel1[[#This Row],[G&amp;V Klaksvik
Par 10 ]]</f>
        <v>1.75</v>
      </c>
      <c r="N18" s="91"/>
      <c r="O18" s="104">
        <f>+Tabel1[[#This Row],[stk 5 dage buffer ]]*Tabel1[[#This Row],[inkøbspris pr stk]]</f>
        <v>0</v>
      </c>
      <c r="P18" s="104"/>
      <c r="Q18" s="91"/>
      <c r="R18" s="91">
        <v>0.72</v>
      </c>
      <c r="S18" s="91"/>
      <c r="T18" s="92"/>
      <c r="U18" s="86"/>
    </row>
    <row r="19" spans="1:21" ht="19.5" hidden="1" customHeight="1" x14ac:dyDescent="0.25">
      <c r="B19" s="99" t="s">
        <v>342</v>
      </c>
      <c r="C19" s="99"/>
      <c r="D19" s="91" t="s">
        <v>203</v>
      </c>
      <c r="E19" s="91" t="s">
        <v>25</v>
      </c>
      <c r="F19" s="217"/>
      <c r="G19" s="91"/>
      <c r="H19" s="91" t="s">
        <v>315</v>
      </c>
      <c r="I19" s="104">
        <v>120</v>
      </c>
      <c r="J19" s="104">
        <f>+Tabel1[[#This Row],[Stk i juli]]/$J$5</f>
        <v>6</v>
      </c>
      <c r="K19" s="104">
        <f>+Tabel1[[#This Row],[stk pr dag]]*$J$4</f>
        <v>30</v>
      </c>
      <c r="L19" s="124"/>
      <c r="M19" s="124">
        <f>Tabel1[[#This Row],[stk 5 dage buffer ]]+Tabel1[[#This Row],[G&amp;V Klaksvik
Par 10 ]]</f>
        <v>30</v>
      </c>
      <c r="N19" s="91"/>
      <c r="O19" s="104">
        <f>+Tabel1[[#This Row],[stk 5 dage buffer ]]*Tabel1[[#This Row],[inkøbspris pr stk]]</f>
        <v>0</v>
      </c>
      <c r="P19" s="104"/>
      <c r="Q19" s="91"/>
      <c r="R19" s="91"/>
      <c r="S19" s="91"/>
      <c r="T19" s="92"/>
    </row>
    <row r="20" spans="1:21" ht="19.5" customHeight="1" x14ac:dyDescent="0.25">
      <c r="A20" s="121" t="s">
        <v>463</v>
      </c>
      <c r="B20" s="100" t="s">
        <v>457</v>
      </c>
      <c r="C20" s="90" t="s">
        <v>463</v>
      </c>
      <c r="D20" s="91" t="s">
        <v>204</v>
      </c>
      <c r="E20" s="91" t="s">
        <v>194</v>
      </c>
      <c r="F20" s="206">
        <v>11</v>
      </c>
      <c r="G20" s="90" t="s">
        <v>594</v>
      </c>
      <c r="H20" s="101" t="s">
        <v>490</v>
      </c>
      <c r="I20" s="124">
        <v>484</v>
      </c>
      <c r="J20" s="124">
        <f>+Tabel1[[#This Row],[Stk i juli]]/$J$5</f>
        <v>24.2</v>
      </c>
      <c r="K20" s="124">
        <f>+Tabel1[[#This Row],[stk pr dag]]*$J$4</f>
        <v>121</v>
      </c>
      <c r="L20" s="124">
        <v>600</v>
      </c>
      <c r="M20" s="124">
        <f>Tabel1[[#This Row],[stk 5 dage buffer ]]+Tabel1[[#This Row],[G&amp;V Klaksvik
Par 10 ]]</f>
        <v>721</v>
      </c>
      <c r="N20" s="132">
        <v>65</v>
      </c>
      <c r="O20" s="104">
        <f>+Tabel1[[#This Row],[stk 5 dage buffer ]]*Tabel1[[#This Row],[inkøbspris pr stk]]</f>
        <v>7865</v>
      </c>
      <c r="P20" s="104">
        <f>0.215*(1.4*1)</f>
        <v>0.30099999999999999</v>
      </c>
      <c r="Q20" s="91"/>
      <c r="R20" s="114">
        <v>100</v>
      </c>
      <c r="S20" s="107">
        <f>+Tabel1[[#This Row],[stk 5 dage buffer ]]/Tabel1[[#This Row],[stk pr container]]</f>
        <v>1.21</v>
      </c>
      <c r="T20" s="108">
        <f t="shared" ref="T20" si="3">IF(S20=0,0,S20*$T$5)</f>
        <v>0.67760000000000009</v>
      </c>
    </row>
    <row r="21" spans="1:21" ht="19.5" hidden="1" customHeight="1" x14ac:dyDescent="0.25">
      <c r="B21" s="90" t="s">
        <v>481</v>
      </c>
      <c r="C21" s="90" t="s">
        <v>465</v>
      </c>
      <c r="D21" s="91" t="s">
        <v>202</v>
      </c>
      <c r="E21" s="91" t="s">
        <v>27</v>
      </c>
      <c r="F21" s="217"/>
      <c r="G21" s="91"/>
      <c r="H21" s="91"/>
      <c r="I21" s="104">
        <v>650</v>
      </c>
      <c r="J21" s="104">
        <f>+Tabel1[[#This Row],[Stk i juli]]/$J$5</f>
        <v>32.5</v>
      </c>
      <c r="K21" s="104">
        <f>+Tabel1[[#This Row],[stk pr dag]]*$J$4</f>
        <v>162.5</v>
      </c>
      <c r="L21" s="124"/>
      <c r="M21" s="124">
        <f>Tabel1[[#This Row],[stk 5 dage buffer ]]+Tabel1[[#This Row],[G&amp;V Klaksvik
Par 10 ]]</f>
        <v>162.5</v>
      </c>
      <c r="N21" s="91"/>
      <c r="O21" s="104">
        <f>+Tabel1[[#This Row],[stk 5 dage buffer ]]*Tabel1[[#This Row],[inkøbspris pr stk]]</f>
        <v>0</v>
      </c>
      <c r="P21" s="104"/>
      <c r="Q21" s="91"/>
      <c r="R21" s="91"/>
      <c r="S21" s="91"/>
      <c r="T21" s="92"/>
    </row>
    <row r="22" spans="1:21" ht="19.5" hidden="1" customHeight="1" x14ac:dyDescent="0.25">
      <c r="B22" s="99" t="s">
        <v>344</v>
      </c>
      <c r="C22" s="99"/>
      <c r="D22" s="91" t="s">
        <v>200</v>
      </c>
      <c r="E22" s="91" t="s">
        <v>28</v>
      </c>
      <c r="F22" s="217"/>
      <c r="G22" s="91"/>
      <c r="H22" s="91" t="s">
        <v>304</v>
      </c>
      <c r="I22" s="104">
        <v>347</v>
      </c>
      <c r="J22" s="104">
        <f>+Tabel1[[#This Row],[Stk i juli]]/$J$5</f>
        <v>17.350000000000001</v>
      </c>
      <c r="K22" s="104">
        <f>+Tabel1[[#This Row],[stk pr dag]]*$J$4</f>
        <v>86.75</v>
      </c>
      <c r="L22" s="124"/>
      <c r="M22" s="124">
        <f>Tabel1[[#This Row],[stk 5 dage buffer ]]+Tabel1[[#This Row],[G&amp;V Klaksvik
Par 10 ]]</f>
        <v>86.75</v>
      </c>
      <c r="N22" s="91"/>
      <c r="O22" s="104">
        <f>+Tabel1[[#This Row],[stk 5 dage buffer ]]*Tabel1[[#This Row],[inkøbspris pr stk]]</f>
        <v>0</v>
      </c>
      <c r="P22" s="104"/>
      <c r="Q22" s="91"/>
      <c r="R22" s="91">
        <v>0.72</v>
      </c>
      <c r="S22" s="91"/>
      <c r="T22" s="92"/>
    </row>
    <row r="23" spans="1:21" ht="19.5" customHeight="1" x14ac:dyDescent="0.25">
      <c r="A23" s="121" t="s">
        <v>506</v>
      </c>
      <c r="B23" s="100" t="s">
        <v>486</v>
      </c>
      <c r="C23" s="90" t="s">
        <v>463</v>
      </c>
      <c r="D23" s="91" t="s">
        <v>201</v>
      </c>
      <c r="E23" s="30" t="s">
        <v>15</v>
      </c>
      <c r="F23" s="207" t="s">
        <v>665</v>
      </c>
      <c r="G23" s="209" t="s">
        <v>666</v>
      </c>
      <c r="H23" s="91" t="s">
        <v>297</v>
      </c>
      <c r="I23" s="124">
        <v>999</v>
      </c>
      <c r="J23" s="124">
        <f>+Tabel1[[#This Row],[Stk i juli]]/$J$5</f>
        <v>49.95</v>
      </c>
      <c r="K23" s="124">
        <f>+Tabel1[[#This Row],[stk pr dag]]*$J$4</f>
        <v>249.75</v>
      </c>
      <c r="L23" s="135"/>
      <c r="M23" s="124">
        <f>Tabel1[[#This Row],[stk 5 dage buffer ]]+Tabel1[[#This Row],[G&amp;V Klaksvik
Par 10 ]]</f>
        <v>249.75</v>
      </c>
      <c r="N23" s="132"/>
      <c r="O23" s="104">
        <f>+Tabel1[[#This Row],[stk 5 dage buffer ]]*Tabel1[[#This Row],[inkøbspris pr stk]]</f>
        <v>0</v>
      </c>
      <c r="P23" s="104">
        <f>P29*2</f>
        <v>1.7248000000000001</v>
      </c>
      <c r="Q23" s="101" t="s">
        <v>494</v>
      </c>
      <c r="R23" s="114">
        <v>45</v>
      </c>
      <c r="S23" s="107">
        <f>+Tabel1[[#This Row],[stk 5 dage buffer ]]/Tabel1[[#This Row],[stk pr container]]</f>
        <v>5.55</v>
      </c>
      <c r="T23" s="108">
        <f t="shared" ref="T23:T24" si="4">IF(S23=0,0,S23*$T$5)</f>
        <v>3.1080000000000001</v>
      </c>
    </row>
    <row r="24" spans="1:21" ht="19.5" customHeight="1" x14ac:dyDescent="0.25">
      <c r="A24" s="121" t="s">
        <v>506</v>
      </c>
      <c r="B24" s="100" t="s">
        <v>487</v>
      </c>
      <c r="C24" s="90" t="s">
        <v>463</v>
      </c>
      <c r="D24" s="91" t="s">
        <v>201</v>
      </c>
      <c r="E24" s="30" t="s">
        <v>43</v>
      </c>
      <c r="F24" s="207" t="s">
        <v>665</v>
      </c>
      <c r="G24" s="209" t="s">
        <v>666</v>
      </c>
      <c r="H24" s="91" t="s">
        <v>296</v>
      </c>
      <c r="I24" s="124">
        <v>43</v>
      </c>
      <c r="J24" s="124">
        <f>+Tabel1[[#This Row],[Stk i juli]]/$J$5</f>
        <v>2.15</v>
      </c>
      <c r="K24" s="138">
        <f>+Tabel1[[#This Row],[stk pr dag]]*$J$4</f>
        <v>10.75</v>
      </c>
      <c r="L24" s="135"/>
      <c r="M24" s="124">
        <f>Tabel1[[#This Row],[stk 5 dage buffer ]]+Tabel1[[#This Row],[G&amp;V Klaksvik
Par 10 ]]</f>
        <v>10.75</v>
      </c>
      <c r="N24" s="132"/>
      <c r="O24" s="104">
        <f>+Tabel1[[#This Row],[stk 5 dage buffer ]]*Tabel1[[#This Row],[inkøbspris pr stk]]</f>
        <v>0</v>
      </c>
      <c r="P24" s="104">
        <f>P29*1.5</f>
        <v>1.2936000000000001</v>
      </c>
      <c r="Q24" s="101" t="s">
        <v>495</v>
      </c>
      <c r="R24" s="114">
        <v>60</v>
      </c>
      <c r="S24" s="107">
        <f>+Tabel1[[#This Row],[stk 5 dage buffer ]]/Tabel1[[#This Row],[stk pr container]]</f>
        <v>0.17916666666666667</v>
      </c>
      <c r="T24" s="108">
        <f t="shared" si="4"/>
        <v>0.10033333333333334</v>
      </c>
    </row>
    <row r="25" spans="1:21" ht="19.5" hidden="1" customHeight="1" x14ac:dyDescent="0.25">
      <c r="B25" s="90" t="s">
        <v>347</v>
      </c>
      <c r="C25" s="99"/>
      <c r="D25" s="91" t="s">
        <v>200</v>
      </c>
      <c r="E25" s="91" t="s">
        <v>31</v>
      </c>
      <c r="F25" s="217"/>
      <c r="G25" s="91"/>
      <c r="H25" s="91" t="s">
        <v>307</v>
      </c>
      <c r="I25" s="104">
        <v>267</v>
      </c>
      <c r="J25" s="104">
        <f>+Tabel1[[#This Row],[Stk i juli]]/$J$5</f>
        <v>13.35</v>
      </c>
      <c r="K25" s="104">
        <f>+Tabel1[[#This Row],[stk pr dag]]*$J$4</f>
        <v>66.75</v>
      </c>
      <c r="L25" s="124"/>
      <c r="M25" s="124">
        <f>Tabel1[[#This Row],[stk 5 dage buffer ]]+Tabel1[[#This Row],[G&amp;V Klaksvik
Par 10 ]]</f>
        <v>66.75</v>
      </c>
      <c r="N25" s="91"/>
      <c r="O25" s="104">
        <f>+Tabel1[[#This Row],[stk 5 dage buffer ]]*Tabel1[[#This Row],[inkøbspris pr stk]]</f>
        <v>0</v>
      </c>
      <c r="P25" s="104"/>
      <c r="Q25" s="91"/>
      <c r="R25" s="91"/>
      <c r="S25" s="91"/>
      <c r="T25" s="92"/>
    </row>
    <row r="26" spans="1:21" ht="19.5" hidden="1" customHeight="1" x14ac:dyDescent="0.25">
      <c r="B26" s="90" t="s">
        <v>347</v>
      </c>
      <c r="C26" s="90"/>
      <c r="D26" s="91" t="s">
        <v>204</v>
      </c>
      <c r="E26" s="91" t="s">
        <v>38</v>
      </c>
      <c r="F26" s="217"/>
      <c r="G26" s="91"/>
      <c r="H26" s="91"/>
      <c r="I26" s="104"/>
      <c r="J26" s="104">
        <f>+Tabel1[[#This Row],[Stk i juli]]/$J$5</f>
        <v>0</v>
      </c>
      <c r="K26" s="104">
        <f>+Tabel1[[#This Row],[stk pr dag]]*$J$4</f>
        <v>0</v>
      </c>
      <c r="L26" s="124"/>
      <c r="M26" s="124">
        <f>Tabel1[[#This Row],[stk 5 dage buffer ]]+Tabel1[[#This Row],[G&amp;V Klaksvik
Par 10 ]]</f>
        <v>0</v>
      </c>
      <c r="N26" s="91"/>
      <c r="O26" s="104">
        <f>+Tabel1[[#This Row],[stk 5 dage buffer ]]*Tabel1[[#This Row],[inkøbspris pr stk]]</f>
        <v>0</v>
      </c>
      <c r="P26" s="104"/>
      <c r="Q26" s="91"/>
      <c r="R26" s="91"/>
      <c r="S26" s="91"/>
      <c r="T26" s="92"/>
    </row>
    <row r="27" spans="1:21" ht="19.5" customHeight="1" x14ac:dyDescent="0.25">
      <c r="A27" s="121" t="s">
        <v>506</v>
      </c>
      <c r="B27" s="100" t="s">
        <v>488</v>
      </c>
      <c r="C27" s="90" t="s">
        <v>463</v>
      </c>
      <c r="D27" s="91" t="s">
        <v>201</v>
      </c>
      <c r="E27" s="30" t="s">
        <v>44</v>
      </c>
      <c r="F27" s="207" t="s">
        <v>665</v>
      </c>
      <c r="G27" s="209" t="s">
        <v>666</v>
      </c>
      <c r="H27" s="91" t="s">
        <v>298</v>
      </c>
      <c r="I27" s="124">
        <v>1029</v>
      </c>
      <c r="J27" s="124">
        <f>+Tabel1[[#This Row],[Stk i juli]]/$J$5</f>
        <v>51.45</v>
      </c>
      <c r="K27" s="124">
        <f>+Tabel1[[#This Row],[stk pr dag]]*$J$4</f>
        <v>257.25</v>
      </c>
      <c r="L27" s="135"/>
      <c r="M27" s="124">
        <f>Tabel1[[#This Row],[stk 5 dage buffer ]]+Tabel1[[#This Row],[G&amp;V Klaksvik
Par 10 ]]</f>
        <v>257.25</v>
      </c>
      <c r="N27" s="132"/>
      <c r="O27" s="104">
        <f>+Tabel1[[#This Row],[stk 5 dage buffer ]]*Tabel1[[#This Row],[inkøbspris pr stk]]</f>
        <v>0</v>
      </c>
      <c r="P27" s="104">
        <f>P29*1.5</f>
        <v>1.2936000000000001</v>
      </c>
      <c r="Q27" s="101" t="s">
        <v>495</v>
      </c>
      <c r="R27" s="114">
        <v>60</v>
      </c>
      <c r="S27" s="107">
        <f>+Tabel1[[#This Row],[stk 5 dage buffer ]]/Tabel1[[#This Row],[stk pr container]]</f>
        <v>4.2874999999999996</v>
      </c>
      <c r="T27" s="108">
        <f t="shared" ref="T27" si="5">IF(S27=0,0,S27*$T$5)</f>
        <v>2.4010000000000002</v>
      </c>
    </row>
    <row r="28" spans="1:21" ht="19.5" hidden="1" customHeight="1" x14ac:dyDescent="0.25">
      <c r="B28" s="99" t="s">
        <v>342</v>
      </c>
      <c r="C28" s="99"/>
      <c r="D28" s="91" t="s">
        <v>200</v>
      </c>
      <c r="E28" s="91" t="s">
        <v>33</v>
      </c>
      <c r="F28" s="217"/>
      <c r="G28" s="91"/>
      <c r="H28" s="91" t="s">
        <v>299</v>
      </c>
      <c r="I28" s="104">
        <v>20</v>
      </c>
      <c r="J28" s="104">
        <f>+Tabel1[[#This Row],[Stk i juli]]/$J$5</f>
        <v>1</v>
      </c>
      <c r="K28" s="104">
        <f>+Tabel1[[#This Row],[stk pr dag]]*$J$4</f>
        <v>5</v>
      </c>
      <c r="L28" s="124"/>
      <c r="M28" s="124">
        <f>Tabel1[[#This Row],[stk 5 dage buffer ]]+Tabel1[[#This Row],[G&amp;V Klaksvik
Par 10 ]]</f>
        <v>5</v>
      </c>
      <c r="N28" s="91"/>
      <c r="O28" s="104">
        <f>+Tabel1[[#This Row],[stk 5 dage buffer ]]*Tabel1[[#This Row],[inkøbspris pr stk]]</f>
        <v>0</v>
      </c>
      <c r="P28" s="104"/>
      <c r="Q28" s="91"/>
      <c r="R28" s="91"/>
      <c r="S28" s="91"/>
      <c r="T28" s="92"/>
    </row>
    <row r="29" spans="1:21" ht="19.5" customHeight="1" x14ac:dyDescent="0.25">
      <c r="A29" s="121" t="s">
        <v>463</v>
      </c>
      <c r="B29" s="100" t="s">
        <v>334</v>
      </c>
      <c r="C29" s="90" t="s">
        <v>463</v>
      </c>
      <c r="D29" s="91" t="s">
        <v>200</v>
      </c>
      <c r="E29" s="91" t="s">
        <v>14</v>
      </c>
      <c r="F29" s="206">
        <v>2</v>
      </c>
      <c r="G29" s="90" t="s">
        <v>568</v>
      </c>
      <c r="H29" s="91" t="s">
        <v>332</v>
      </c>
      <c r="I29" s="124">
        <v>13754</v>
      </c>
      <c r="J29" s="124">
        <f>+Tabel1[[#This Row],[Stk i juli]]/$J$5</f>
        <v>687.7</v>
      </c>
      <c r="K29" s="124">
        <f>+Tabel1[[#This Row],[stk pr dag]]*$J$4</f>
        <v>3438.5</v>
      </c>
      <c r="L29" s="124">
        <v>1620</v>
      </c>
      <c r="M29" s="124">
        <f>Tabel1[[#This Row],[stk 5 dage buffer ]]+Tabel1[[#This Row],[G&amp;V Klaksvik
Par 10 ]]</f>
        <v>5058.5</v>
      </c>
      <c r="N29" s="145">
        <v>89.23</v>
      </c>
      <c r="O29" s="104">
        <f>+Tabel1[[#This Row],[stk 5 dage buffer ]]*Tabel1[[#This Row],[inkøbspris pr stk]]</f>
        <v>306817.35500000004</v>
      </c>
      <c r="P29" s="104">
        <f>0.14*(1.4*2.2*2)</f>
        <v>0.86240000000000006</v>
      </c>
      <c r="Q29" s="91"/>
      <c r="R29" s="114">
        <v>90</v>
      </c>
      <c r="S29" s="107">
        <f>+Tabel1[[#This Row],[stk 5 dage buffer ]]/Tabel1[[#This Row],[stk pr container]]</f>
        <v>38.205555555555556</v>
      </c>
      <c r="T29" s="108">
        <f t="shared" ref="T29" si="6">IF(S29=0,0,S29*$T$5)</f>
        <v>21.395111111111113</v>
      </c>
    </row>
    <row r="30" spans="1:21" ht="19.5" hidden="1" customHeight="1" x14ac:dyDescent="0.25">
      <c r="B30" s="100" t="s">
        <v>489</v>
      </c>
      <c r="C30" s="100" t="s">
        <v>465</v>
      </c>
      <c r="D30" s="91" t="s">
        <v>202</v>
      </c>
      <c r="E30" s="91" t="s">
        <v>26</v>
      </c>
      <c r="F30" s="217"/>
      <c r="G30" s="91"/>
      <c r="H30" s="91"/>
      <c r="I30" s="104">
        <v>22150</v>
      </c>
      <c r="J30" s="104">
        <f>+Tabel1[[#This Row],[Stk i juli]]/$J$5</f>
        <v>1107.5</v>
      </c>
      <c r="K30" s="104">
        <f>+Tabel1[[#This Row],[stk pr dag]]*$J$4</f>
        <v>5537.5</v>
      </c>
      <c r="L30" s="124"/>
      <c r="M30" s="124">
        <f>Tabel1[[#This Row],[stk 5 dage buffer ]]+Tabel1[[#This Row],[G&amp;V Klaksvik
Par 10 ]]</f>
        <v>5537.5</v>
      </c>
      <c r="N30" s="91"/>
      <c r="O30" s="104">
        <f>+Tabel1[[#This Row],[stk 5 dage buffer ]]*Tabel1[[#This Row],[inkøbspris pr stk]]</f>
        <v>0</v>
      </c>
      <c r="P30" s="104"/>
      <c r="Q30" s="91"/>
      <c r="R30" s="91"/>
      <c r="S30" s="91"/>
      <c r="T30" s="92"/>
    </row>
    <row r="31" spans="1:21" ht="19.5" hidden="1" customHeight="1" x14ac:dyDescent="0.25">
      <c r="B31" s="99" t="s">
        <v>350</v>
      </c>
      <c r="C31" s="99"/>
      <c r="D31" s="91" t="s">
        <v>204</v>
      </c>
      <c r="E31" s="91" t="s">
        <v>36</v>
      </c>
      <c r="F31" s="217"/>
      <c r="G31" s="91"/>
      <c r="H31" s="91" t="s">
        <v>311</v>
      </c>
      <c r="I31" s="104">
        <v>871</v>
      </c>
      <c r="J31" s="104">
        <f>+Tabel1[[#This Row],[Stk i juli]]/$J$5</f>
        <v>43.55</v>
      </c>
      <c r="K31" s="104">
        <f>+Tabel1[[#This Row],[stk pr dag]]*$J$4</f>
        <v>217.75</v>
      </c>
      <c r="L31" s="124"/>
      <c r="M31" s="124">
        <f>Tabel1[[#This Row],[stk 5 dage buffer ]]+Tabel1[[#This Row],[G&amp;V Klaksvik
Par 10 ]]</f>
        <v>217.75</v>
      </c>
      <c r="N31" s="91"/>
      <c r="O31" s="104">
        <f>+Tabel1[[#This Row],[stk 5 dage buffer ]]*Tabel1[[#This Row],[inkøbspris pr stk]]</f>
        <v>0</v>
      </c>
      <c r="P31" s="104"/>
      <c r="Q31" s="91"/>
      <c r="R31" s="91"/>
      <c r="S31" s="91"/>
      <c r="T31" s="92"/>
    </row>
    <row r="32" spans="1:21" ht="19.5" hidden="1" customHeight="1" x14ac:dyDescent="0.25">
      <c r="B32" s="99" t="s">
        <v>350</v>
      </c>
      <c r="C32" s="99"/>
      <c r="D32" s="91" t="s">
        <v>204</v>
      </c>
      <c r="E32" s="91" t="s">
        <v>49</v>
      </c>
      <c r="F32" s="217"/>
      <c r="G32" s="91"/>
      <c r="H32" s="91"/>
      <c r="I32" s="104"/>
      <c r="J32" s="104">
        <f>+Tabel1[[#This Row],[Stk i juli]]/$J$5</f>
        <v>0</v>
      </c>
      <c r="K32" s="104">
        <f>+Tabel1[[#This Row],[stk pr dag]]*$J$4</f>
        <v>0</v>
      </c>
      <c r="L32" s="124"/>
      <c r="M32" s="124">
        <f>Tabel1[[#This Row],[stk 5 dage buffer ]]+Tabel1[[#This Row],[G&amp;V Klaksvik
Par 10 ]]</f>
        <v>0</v>
      </c>
      <c r="N32" s="91"/>
      <c r="O32" s="104">
        <f>+Tabel1[[#This Row],[stk 5 dage buffer ]]*Tabel1[[#This Row],[inkøbspris pr stk]]</f>
        <v>0</v>
      </c>
      <c r="P32" s="104"/>
      <c r="Q32" s="91"/>
      <c r="R32" s="91"/>
      <c r="S32" s="91"/>
      <c r="T32" s="92"/>
    </row>
    <row r="33" spans="1:20" ht="19.5" hidden="1" customHeight="1" x14ac:dyDescent="0.25">
      <c r="B33" s="99" t="s">
        <v>350</v>
      </c>
      <c r="C33" s="99"/>
      <c r="D33" s="91" t="s">
        <v>204</v>
      </c>
      <c r="E33" s="91" t="s">
        <v>37</v>
      </c>
      <c r="F33" s="217"/>
      <c r="G33" s="91"/>
      <c r="H33" s="91" t="s">
        <v>299</v>
      </c>
      <c r="I33" s="104">
        <v>334</v>
      </c>
      <c r="J33" s="104">
        <f>+Tabel1[[#This Row],[Stk i juli]]/$J$5</f>
        <v>16.7</v>
      </c>
      <c r="K33" s="104">
        <f>+Tabel1[[#This Row],[stk pr dag]]*$J$4</f>
        <v>83.5</v>
      </c>
      <c r="L33" s="124"/>
      <c r="M33" s="124">
        <f>Tabel1[[#This Row],[stk 5 dage buffer ]]+Tabel1[[#This Row],[G&amp;V Klaksvik
Par 10 ]]</f>
        <v>83.5</v>
      </c>
      <c r="N33" s="91"/>
      <c r="O33" s="104">
        <f>+Tabel1[[#This Row],[stk 5 dage buffer ]]*Tabel1[[#This Row],[inkøbspris pr stk]]</f>
        <v>0</v>
      </c>
      <c r="P33" s="104"/>
      <c r="Q33" s="91"/>
      <c r="R33" s="91"/>
      <c r="S33" s="91"/>
      <c r="T33" s="92"/>
    </row>
    <row r="34" spans="1:20" ht="19.5" hidden="1" customHeight="1" x14ac:dyDescent="0.25">
      <c r="B34" s="99" t="s">
        <v>350</v>
      </c>
      <c r="C34" s="99"/>
      <c r="D34" s="91" t="s">
        <v>204</v>
      </c>
      <c r="E34" s="91" t="s">
        <v>51</v>
      </c>
      <c r="F34" s="217"/>
      <c r="G34" s="91"/>
      <c r="H34" s="91"/>
      <c r="I34" s="104"/>
      <c r="J34" s="104">
        <f>+Tabel1[[#This Row],[Stk i juli]]/$J$5</f>
        <v>0</v>
      </c>
      <c r="K34" s="104">
        <f>+Tabel1[[#This Row],[stk pr dag]]*$J$4</f>
        <v>0</v>
      </c>
      <c r="L34" s="124"/>
      <c r="M34" s="124">
        <f>Tabel1[[#This Row],[stk 5 dage buffer ]]+Tabel1[[#This Row],[G&amp;V Klaksvik
Par 10 ]]</f>
        <v>0</v>
      </c>
      <c r="N34" s="91"/>
      <c r="O34" s="104">
        <f>+Tabel1[[#This Row],[stk 5 dage buffer ]]*Tabel1[[#This Row],[inkøbspris pr stk]]</f>
        <v>0</v>
      </c>
      <c r="P34" s="104"/>
      <c r="Q34" s="91"/>
      <c r="R34" s="91"/>
      <c r="S34" s="91"/>
      <c r="T34" s="92"/>
    </row>
    <row r="35" spans="1:20" ht="19.5" hidden="1" customHeight="1" x14ac:dyDescent="0.25">
      <c r="A35" s="121" t="s">
        <v>463</v>
      </c>
      <c r="B35" s="90" t="s">
        <v>479</v>
      </c>
      <c r="C35" s="100" t="s">
        <v>465</v>
      </c>
      <c r="D35" s="91" t="s">
        <v>200</v>
      </c>
      <c r="E35" s="91" t="s">
        <v>21</v>
      </c>
      <c r="F35" s="217"/>
      <c r="G35" s="91"/>
      <c r="H35" s="91" t="s">
        <v>301</v>
      </c>
      <c r="I35" s="124">
        <v>9578</v>
      </c>
      <c r="J35" s="124">
        <f>+Tabel1[[#This Row],[Stk i juli]]/$J$5</f>
        <v>478.9</v>
      </c>
      <c r="K35" s="124">
        <f>+Tabel1[[#This Row],[stk pr dag]]*$J$4</f>
        <v>2394.5</v>
      </c>
      <c r="L35" s="135"/>
      <c r="M35" s="124">
        <f>Tabel1[[#This Row],[stk 5 dage buffer ]]+Tabel1[[#This Row],[G&amp;V Klaksvik
Par 10 ]]</f>
        <v>2394.5</v>
      </c>
      <c r="N35" s="145"/>
      <c r="O35" s="104">
        <f>+Tabel1[[#This Row],[stk 5 dage buffer ]]*Tabel1[[#This Row],[inkøbspris pr stk]]</f>
        <v>0</v>
      </c>
      <c r="P35" s="104">
        <v>0.24</v>
      </c>
      <c r="Q35" s="113" t="s">
        <v>500</v>
      </c>
      <c r="R35" s="114">
        <v>120</v>
      </c>
      <c r="S35" s="107">
        <f>+Tabel1[[#This Row],[stk 5 dage buffer ]]/Tabel1[[#This Row],[stk pr container]]</f>
        <v>19.954166666666666</v>
      </c>
      <c r="T35" s="108">
        <f t="shared" ref="T35" si="7">IF(S35=0,0,S35*$T$5)</f>
        <v>11.174333333333333</v>
      </c>
    </row>
    <row r="36" spans="1:20" ht="19.5" hidden="1" customHeight="1" x14ac:dyDescent="0.25">
      <c r="B36" s="99" t="s">
        <v>342</v>
      </c>
      <c r="C36" s="99"/>
      <c r="D36" s="91" t="s">
        <v>204</v>
      </c>
      <c r="E36" s="91" t="s">
        <v>40</v>
      </c>
      <c r="F36" s="217"/>
      <c r="G36" s="91"/>
      <c r="H36" s="91" t="s">
        <v>306</v>
      </c>
      <c r="I36" s="104">
        <v>3100</v>
      </c>
      <c r="J36" s="104">
        <f>+Tabel1[[#This Row],[Stk i juli]]/$J$5</f>
        <v>155</v>
      </c>
      <c r="K36" s="104">
        <f>+Tabel1[[#This Row],[stk pr dag]]*$J$4</f>
        <v>775</v>
      </c>
      <c r="L36" s="135"/>
      <c r="M36" s="124">
        <f>Tabel1[[#This Row],[stk 5 dage buffer ]]+Tabel1[[#This Row],[G&amp;V Klaksvik
Par 10 ]]</f>
        <v>775</v>
      </c>
      <c r="N36" s="91"/>
      <c r="O36" s="104">
        <f>+Tabel1[[#This Row],[stk 5 dage buffer ]]*Tabel1[[#This Row],[inkøbspris pr stk]]</f>
        <v>0</v>
      </c>
      <c r="P36" s="104"/>
      <c r="Q36" s="91"/>
      <c r="R36" s="91"/>
      <c r="S36" s="91"/>
      <c r="T36" s="92"/>
    </row>
    <row r="37" spans="1:20" ht="19.5" hidden="1" customHeight="1" x14ac:dyDescent="0.25">
      <c r="B37" s="90" t="s">
        <v>352</v>
      </c>
      <c r="C37" s="90" t="s">
        <v>465</v>
      </c>
      <c r="D37" s="91" t="s">
        <v>199</v>
      </c>
      <c r="E37" s="91" t="s">
        <v>41</v>
      </c>
      <c r="F37" s="217"/>
      <c r="G37" s="91"/>
      <c r="H37" s="91"/>
      <c r="I37" s="104">
        <v>2160</v>
      </c>
      <c r="J37" s="104">
        <f>+Tabel1[[#This Row],[Stk i juli]]/$J$5</f>
        <v>108</v>
      </c>
      <c r="K37" s="104">
        <f>+Tabel1[[#This Row],[stk pr dag]]*$J$4</f>
        <v>540</v>
      </c>
      <c r="L37" s="135"/>
      <c r="M37" s="124">
        <f>Tabel1[[#This Row],[stk 5 dage buffer ]]+Tabel1[[#This Row],[G&amp;V Klaksvik
Par 10 ]]</f>
        <v>540</v>
      </c>
      <c r="N37" s="91"/>
      <c r="O37" s="104">
        <f>+Tabel1[[#This Row],[stk 5 dage buffer ]]*Tabel1[[#This Row],[inkøbspris pr stk]]</f>
        <v>0</v>
      </c>
      <c r="P37" s="104"/>
      <c r="Q37" s="91"/>
      <c r="R37" s="91"/>
      <c r="S37" s="91"/>
      <c r="T37" s="92"/>
    </row>
    <row r="38" spans="1:20" ht="19.5" customHeight="1" x14ac:dyDescent="0.25">
      <c r="A38" s="121" t="s">
        <v>463</v>
      </c>
      <c r="B38" s="213" t="s">
        <v>478</v>
      </c>
      <c r="C38" s="90" t="s">
        <v>463</v>
      </c>
      <c r="D38" s="91" t="s">
        <v>200</v>
      </c>
      <c r="E38" s="91" t="s">
        <v>20</v>
      </c>
      <c r="F38" s="218" t="s">
        <v>667</v>
      </c>
      <c r="G38" s="208" t="s">
        <v>668</v>
      </c>
      <c r="H38" s="91" t="s">
        <v>300</v>
      </c>
      <c r="I38" s="124">
        <v>9254</v>
      </c>
      <c r="J38" s="124">
        <f>+Tabel1[[#This Row],[Stk i juli]]/$J$5</f>
        <v>462.7</v>
      </c>
      <c r="K38" s="124">
        <f>+Tabel1[[#This Row],[stk pr dag]]*$J$4</f>
        <v>2313.5</v>
      </c>
      <c r="L38" s="135"/>
      <c r="M38" s="124">
        <f>Tabel1[[#This Row],[stk 5 dage buffer ]]+Tabel1[[#This Row],[G&amp;V Klaksvik
Par 10 ]]</f>
        <v>2313.5</v>
      </c>
      <c r="N38" s="145"/>
      <c r="O38" s="104">
        <f>+Tabel1[[#This Row],[stk 5 dage buffer ]]*Tabel1[[#This Row],[inkøbspris pr stk]]</f>
        <v>0</v>
      </c>
      <c r="P38" s="104">
        <v>0.47</v>
      </c>
      <c r="Q38" s="113" t="s">
        <v>500</v>
      </c>
      <c r="R38" s="114">
        <v>60</v>
      </c>
      <c r="S38" s="107">
        <f>+Tabel1[[#This Row],[stk 5 dage buffer ]]/Tabel1[[#This Row],[stk pr container]]</f>
        <v>38.55833333333333</v>
      </c>
      <c r="T38" s="108">
        <f t="shared" ref="T38:T43" si="8">IF(S38=0,0,S38*$T$5)</f>
        <v>21.592666666666666</v>
      </c>
    </row>
    <row r="39" spans="1:20" ht="19.5" customHeight="1" x14ac:dyDescent="0.25">
      <c r="A39" s="121" t="s">
        <v>463</v>
      </c>
      <c r="B39" s="116" t="s">
        <v>356</v>
      </c>
      <c r="C39" s="90" t="s">
        <v>463</v>
      </c>
      <c r="D39" s="91" t="s">
        <v>204</v>
      </c>
      <c r="E39" s="91" t="s">
        <v>46</v>
      </c>
      <c r="F39" s="206">
        <v>17</v>
      </c>
      <c r="G39" s="90" t="s">
        <v>617</v>
      </c>
      <c r="H39" s="91" t="s">
        <v>313</v>
      </c>
      <c r="I39" s="124">
        <v>11941</v>
      </c>
      <c r="J39" s="124">
        <f>+Tabel1[[#This Row],[Stk i juli]]/$J$5</f>
        <v>597.04999999999995</v>
      </c>
      <c r="K39" s="124">
        <f>+Tabel1[[#This Row],[stk pr dag]]*$J$4</f>
        <v>2985.25</v>
      </c>
      <c r="L39" s="124">
        <v>3240</v>
      </c>
      <c r="M39" s="124">
        <f>Tabel1[[#This Row],[stk 5 dage buffer ]]+Tabel1[[#This Row],[G&amp;V Klaksvik
Par 10 ]]</f>
        <v>6225.25</v>
      </c>
      <c r="N39" s="145">
        <v>16.72</v>
      </c>
      <c r="O39" s="104">
        <f>+Tabel1[[#This Row],[stk 5 dage buffer ]]*Tabel1[[#This Row],[inkøbspris pr stk]]</f>
        <v>49913.38</v>
      </c>
      <c r="P39" s="104">
        <v>0.24</v>
      </c>
      <c r="Q39" s="113" t="s">
        <v>499</v>
      </c>
      <c r="R39" s="114">
        <v>120</v>
      </c>
      <c r="S39" s="107">
        <f>+Tabel1[[#This Row],[stk 5 dage buffer ]]/Tabel1[[#This Row],[stk pr container]]</f>
        <v>24.877083333333335</v>
      </c>
      <c r="T39" s="108">
        <f t="shared" si="8"/>
        <v>13.93116666666667</v>
      </c>
    </row>
    <row r="40" spans="1:20" ht="19.5" customHeight="1" x14ac:dyDescent="0.25">
      <c r="A40" s="121" t="s">
        <v>506</v>
      </c>
      <c r="B40" s="116" t="s">
        <v>507</v>
      </c>
      <c r="C40" s="90" t="s">
        <v>463</v>
      </c>
      <c r="D40" s="91" t="s">
        <v>204</v>
      </c>
      <c r="E40" s="91" t="s">
        <v>45</v>
      </c>
      <c r="F40" s="206">
        <v>18</v>
      </c>
      <c r="G40" s="90" t="s">
        <v>625</v>
      </c>
      <c r="H40" s="91" t="s">
        <v>314</v>
      </c>
      <c r="I40" s="124">
        <v>10654</v>
      </c>
      <c r="J40" s="124">
        <f>+Tabel1[[#This Row],[Stk i juli]]/$J$5</f>
        <v>532.70000000000005</v>
      </c>
      <c r="K40" s="124">
        <f>+Tabel1[[#This Row],[stk pr dag]]*$J$4</f>
        <v>2663.5</v>
      </c>
      <c r="L40" s="124">
        <v>3240</v>
      </c>
      <c r="M40" s="124">
        <f>Tabel1[[#This Row],[stk 5 dage buffer ]]+Tabel1[[#This Row],[G&amp;V Klaksvik
Par 10 ]]</f>
        <v>5903.5</v>
      </c>
      <c r="N40" s="145">
        <v>32.54</v>
      </c>
      <c r="O40" s="104">
        <f>+Tabel1[[#This Row],[stk 5 dage buffer ]]*Tabel1[[#This Row],[inkøbspris pr stk]]</f>
        <v>86670.29</v>
      </c>
      <c r="P40" s="104">
        <v>0.47</v>
      </c>
      <c r="Q40" s="113" t="s">
        <v>499</v>
      </c>
      <c r="R40" s="114">
        <v>60</v>
      </c>
      <c r="S40" s="107">
        <f>+Tabel1[[#This Row],[stk 5 dage buffer ]]/Tabel1[[#This Row],[stk pr container]]</f>
        <v>44.391666666666666</v>
      </c>
      <c r="T40" s="108">
        <f t="shared" si="8"/>
        <v>24.859333333333336</v>
      </c>
    </row>
    <row r="41" spans="1:20" ht="19.5" customHeight="1" x14ac:dyDescent="0.25">
      <c r="A41" s="121" t="s">
        <v>463</v>
      </c>
      <c r="B41" s="116" t="s">
        <v>497</v>
      </c>
      <c r="C41" s="90" t="s">
        <v>463</v>
      </c>
      <c r="D41" s="91" t="s">
        <v>200</v>
      </c>
      <c r="E41" s="111" t="s">
        <v>669</v>
      </c>
      <c r="F41" s="206">
        <v>19</v>
      </c>
      <c r="G41" s="90" t="s">
        <v>627</v>
      </c>
      <c r="H41" s="91" t="s">
        <v>503</v>
      </c>
      <c r="I41" s="124"/>
      <c r="J41" s="124">
        <f>+Tabel1[[#This Row],[Stk i juli]]/$J$5</f>
        <v>0</v>
      </c>
      <c r="K41" s="126">
        <f>+Tabel1[[#This Row],[stk pr dag]]*$J$4</f>
        <v>0</v>
      </c>
      <c r="L41" s="124">
        <v>1620</v>
      </c>
      <c r="M41" s="124">
        <f>Tabel1[[#This Row],[stk 5 dage buffer ]]+Tabel1[[#This Row],[G&amp;V Klaksvik
Par 10 ]]</f>
        <v>1620</v>
      </c>
      <c r="N41" s="145">
        <v>49.1</v>
      </c>
      <c r="O41" s="104">
        <f>+Tabel1[[#This Row],[stk 5 dage buffer ]]*Tabel1[[#This Row],[inkøbspris pr stk]]</f>
        <v>0</v>
      </c>
      <c r="P41" s="104"/>
      <c r="Q41" s="113" t="s">
        <v>499</v>
      </c>
      <c r="R41" s="114"/>
      <c r="S41" s="107"/>
      <c r="T41" s="108"/>
    </row>
    <row r="42" spans="1:20" ht="19.5" customHeight="1" x14ac:dyDescent="0.25">
      <c r="A42" s="121" t="s">
        <v>463</v>
      </c>
      <c r="B42" s="100" t="s">
        <v>480</v>
      </c>
      <c r="C42" s="90" t="s">
        <v>463</v>
      </c>
      <c r="D42" s="91" t="s">
        <v>200</v>
      </c>
      <c r="E42" s="91" t="s">
        <v>22</v>
      </c>
      <c r="F42" s="206">
        <v>8</v>
      </c>
      <c r="G42" s="90" t="s">
        <v>582</v>
      </c>
      <c r="H42" s="91" t="s">
        <v>302</v>
      </c>
      <c r="I42" s="124">
        <v>9269</v>
      </c>
      <c r="J42" s="124">
        <f>+Tabel1[[#This Row],[Stk i juli]]/$J$5</f>
        <v>463.45</v>
      </c>
      <c r="K42" s="124">
        <f>+Tabel1[[#This Row],[stk pr dag]]*$J$4</f>
        <v>2317.25</v>
      </c>
      <c r="L42" s="124">
        <v>1620</v>
      </c>
      <c r="M42" s="124">
        <f>Tabel1[[#This Row],[stk 5 dage buffer ]]+Tabel1[[#This Row],[G&amp;V Klaksvik
Par 10 ]]</f>
        <v>3937.25</v>
      </c>
      <c r="N42" s="145">
        <v>41.46</v>
      </c>
      <c r="O42" s="104">
        <f>+Tabel1[[#This Row],[stk 5 dage buffer ]]*Tabel1[[#This Row],[inkøbspris pr stk]]</f>
        <v>96073.184999999998</v>
      </c>
      <c r="P42" s="104">
        <f>0.14*1.6*2.9</f>
        <v>0.64960000000000007</v>
      </c>
      <c r="Q42" s="101" t="s">
        <v>259</v>
      </c>
      <c r="R42" s="114">
        <v>180</v>
      </c>
      <c r="S42" s="107">
        <f>+Tabel1[[#This Row],[stk 5 dage buffer ]]/Tabel1[[#This Row],[stk pr container]]</f>
        <v>12.873611111111112</v>
      </c>
      <c r="T42" s="108">
        <f t="shared" si="8"/>
        <v>7.2092222222222233</v>
      </c>
    </row>
    <row r="43" spans="1:20" ht="19.5" customHeight="1" x14ac:dyDescent="0.25">
      <c r="A43" s="121" t="s">
        <v>463</v>
      </c>
      <c r="B43" s="100" t="s">
        <v>514</v>
      </c>
      <c r="C43" s="90" t="s">
        <v>463</v>
      </c>
      <c r="D43" s="91" t="s">
        <v>204</v>
      </c>
      <c r="E43" s="91" t="s">
        <v>42</v>
      </c>
      <c r="F43" s="206">
        <v>9</v>
      </c>
      <c r="G43" s="90" t="s">
        <v>584</v>
      </c>
      <c r="H43" s="91" t="s">
        <v>302</v>
      </c>
      <c r="I43" s="124">
        <v>2154</v>
      </c>
      <c r="J43" s="124">
        <f>+Tabel1[[#This Row],[Stk i juli]]/$J$5</f>
        <v>107.7</v>
      </c>
      <c r="K43" s="124">
        <f>+Tabel1[[#This Row],[stk pr dag]]*$J$4</f>
        <v>538.5</v>
      </c>
      <c r="L43" s="135"/>
      <c r="M43" s="124">
        <f>Tabel1[[#This Row],[stk 5 dage buffer ]]+Tabel1[[#This Row],[G&amp;V Klaksvik
Par 10 ]]</f>
        <v>538.5</v>
      </c>
      <c r="N43" s="145">
        <v>73.53</v>
      </c>
      <c r="O43" s="104">
        <f>+Tabel1[[#This Row],[stk 5 dage buffer ]]*Tabel1[[#This Row],[inkøbspris pr stk]]</f>
        <v>39595.904999999999</v>
      </c>
      <c r="P43" s="104">
        <f>0.14*2.75*2.9</f>
        <v>1.1165</v>
      </c>
      <c r="Q43" s="111"/>
      <c r="R43" s="114">
        <v>140</v>
      </c>
      <c r="S43" s="107">
        <f>+Tabel1[[#This Row],[stk 5 dage buffer ]]/Tabel1[[#This Row],[stk pr container]]</f>
        <v>3.8464285714285715</v>
      </c>
      <c r="T43" s="108">
        <f t="shared" si="8"/>
        <v>2.1540000000000004</v>
      </c>
    </row>
    <row r="44" spans="1:20" ht="19.5" hidden="1" customHeight="1" x14ac:dyDescent="0.25">
      <c r="B44" s="99" t="s">
        <v>342</v>
      </c>
      <c r="C44" s="99"/>
      <c r="D44" s="91" t="s">
        <v>199</v>
      </c>
      <c r="E44" s="91" t="s">
        <v>47</v>
      </c>
      <c r="F44" s="217"/>
      <c r="G44" s="91"/>
      <c r="H44" s="91"/>
      <c r="I44" s="104">
        <v>121</v>
      </c>
      <c r="J44" s="104">
        <f>+Tabel1[[#This Row],[Stk i juli]]/$J$5</f>
        <v>6.05</v>
      </c>
      <c r="K44" s="104">
        <f>+Tabel1[[#This Row],[stk pr dag]]*$J$4</f>
        <v>30.25</v>
      </c>
      <c r="L44" s="135"/>
      <c r="M44" s="124">
        <f>Tabel1[[#This Row],[stk 5 dage buffer ]]+Tabel1[[#This Row],[G&amp;V Klaksvik
Par 10 ]]</f>
        <v>30.25</v>
      </c>
      <c r="N44" s="91"/>
      <c r="O44" s="104">
        <f>+Tabel1[[#This Row],[stk 5 dage buffer ]]*Tabel1[[#This Row],[inkøbspris pr stk]]</f>
        <v>0</v>
      </c>
      <c r="P44" s="104"/>
      <c r="Q44" s="91"/>
      <c r="R44" s="91"/>
      <c r="S44" s="91"/>
      <c r="T44" s="92"/>
    </row>
    <row r="45" spans="1:20" ht="19.5" hidden="1" customHeight="1" x14ac:dyDescent="0.25">
      <c r="B45" s="90" t="s">
        <v>357</v>
      </c>
      <c r="C45" s="90" t="s">
        <v>465</v>
      </c>
      <c r="D45" s="91" t="s">
        <v>199</v>
      </c>
      <c r="E45" s="91" t="s">
        <v>48</v>
      </c>
      <c r="F45" s="217"/>
      <c r="G45" s="91"/>
      <c r="H45" s="91"/>
      <c r="I45" s="104">
        <v>2640</v>
      </c>
      <c r="J45" s="104">
        <f>+Tabel1[[#This Row],[Stk i juli]]/$J$5</f>
        <v>132</v>
      </c>
      <c r="K45" s="104">
        <f>+Tabel1[[#This Row],[stk pr dag]]*$J$4</f>
        <v>660</v>
      </c>
      <c r="L45" s="135"/>
      <c r="M45" s="124">
        <f>Tabel1[[#This Row],[stk 5 dage buffer ]]+Tabel1[[#This Row],[G&amp;V Klaksvik
Par 10 ]]</f>
        <v>660</v>
      </c>
      <c r="N45" s="91"/>
      <c r="O45" s="104">
        <f>+Tabel1[[#This Row],[stk 5 dage buffer ]]*Tabel1[[#This Row],[inkøbspris pr stk]]</f>
        <v>0</v>
      </c>
      <c r="P45" s="104"/>
      <c r="Q45" s="91"/>
      <c r="R45" s="91"/>
      <c r="S45" s="91"/>
      <c r="T45" s="92"/>
    </row>
    <row r="46" spans="1:20" ht="19.5" hidden="1" customHeight="1" x14ac:dyDescent="0.25">
      <c r="B46" s="99" t="s">
        <v>342</v>
      </c>
      <c r="C46" s="99"/>
      <c r="D46" s="91" t="s">
        <v>204</v>
      </c>
      <c r="E46" s="91" t="s">
        <v>50</v>
      </c>
      <c r="F46" s="217"/>
      <c r="G46" s="91"/>
      <c r="H46" s="91"/>
      <c r="I46" s="104">
        <v>1</v>
      </c>
      <c r="J46" s="104">
        <f>+Tabel1[[#This Row],[Stk i juli]]/$J$5</f>
        <v>0.05</v>
      </c>
      <c r="K46" s="104">
        <f>+Tabel1[[#This Row],[stk pr dag]]*$J$4</f>
        <v>0.25</v>
      </c>
      <c r="L46" s="135"/>
      <c r="M46" s="124">
        <f>Tabel1[[#This Row],[stk 5 dage buffer ]]+Tabel1[[#This Row],[G&amp;V Klaksvik
Par 10 ]]</f>
        <v>0.25</v>
      </c>
      <c r="N46" s="91"/>
      <c r="O46" s="104">
        <f>+Tabel1[[#This Row],[stk 5 dage buffer ]]*Tabel1[[#This Row],[inkøbspris pr stk]]</f>
        <v>0</v>
      </c>
      <c r="P46" s="104"/>
      <c r="Q46" s="91"/>
      <c r="R46" s="91"/>
      <c r="S46" s="91"/>
      <c r="T46" s="92"/>
    </row>
    <row r="47" spans="1:20" ht="19.5" hidden="1" customHeight="1" x14ac:dyDescent="0.25">
      <c r="B47" s="99" t="s">
        <v>342</v>
      </c>
      <c r="C47" s="99"/>
      <c r="D47" s="91" t="s">
        <v>204</v>
      </c>
      <c r="E47" s="91" t="s">
        <v>52</v>
      </c>
      <c r="F47" s="217"/>
      <c r="G47" s="91"/>
      <c r="H47" s="91"/>
      <c r="I47" s="104">
        <v>7</v>
      </c>
      <c r="J47" s="104">
        <f>+Tabel1[[#This Row],[Stk i juli]]/$J$5</f>
        <v>0.35</v>
      </c>
      <c r="K47" s="104">
        <f>+Tabel1[[#This Row],[stk pr dag]]*$J$4</f>
        <v>1.75</v>
      </c>
      <c r="L47" s="135"/>
      <c r="M47" s="124">
        <f>Tabel1[[#This Row],[stk 5 dage buffer ]]+Tabel1[[#This Row],[G&amp;V Klaksvik
Par 10 ]]</f>
        <v>1.75</v>
      </c>
      <c r="N47" s="91"/>
      <c r="O47" s="104">
        <f>+Tabel1[[#This Row],[stk 5 dage buffer ]]*Tabel1[[#This Row],[inkøbspris pr stk]]</f>
        <v>0</v>
      </c>
      <c r="P47" s="104"/>
      <c r="Q47" s="91"/>
      <c r="R47" s="91"/>
      <c r="S47" s="91"/>
      <c r="T47" s="92"/>
    </row>
    <row r="48" spans="1:20" ht="19.5" hidden="1" customHeight="1" x14ac:dyDescent="0.25">
      <c r="B48" s="99" t="s">
        <v>342</v>
      </c>
      <c r="C48" s="99"/>
      <c r="D48" s="91" t="s">
        <v>204</v>
      </c>
      <c r="E48" s="91" t="s">
        <v>53</v>
      </c>
      <c r="F48" s="217"/>
      <c r="G48" s="91"/>
      <c r="H48" s="91"/>
      <c r="I48" s="104">
        <v>20</v>
      </c>
      <c r="J48" s="104">
        <f>+Tabel1[[#This Row],[Stk i juli]]/$J$5</f>
        <v>1</v>
      </c>
      <c r="K48" s="104">
        <f>+Tabel1[[#This Row],[stk pr dag]]*$J$4</f>
        <v>5</v>
      </c>
      <c r="L48" s="135"/>
      <c r="M48" s="124">
        <f>Tabel1[[#This Row],[stk 5 dage buffer ]]+Tabel1[[#This Row],[G&amp;V Klaksvik
Par 10 ]]</f>
        <v>5</v>
      </c>
      <c r="N48" s="91"/>
      <c r="O48" s="104">
        <f>+Tabel1[[#This Row],[stk 5 dage buffer ]]*Tabel1[[#This Row],[inkøbspris pr stk]]</f>
        <v>0</v>
      </c>
      <c r="P48" s="104"/>
      <c r="Q48" s="91"/>
      <c r="R48" s="91"/>
      <c r="S48" s="91"/>
      <c r="T48" s="92"/>
    </row>
    <row r="49" spans="1:20" ht="19.5" hidden="1" customHeight="1" x14ac:dyDescent="0.25">
      <c r="B49" s="99" t="s">
        <v>342</v>
      </c>
      <c r="C49" s="99"/>
      <c r="D49" s="91" t="s">
        <v>204</v>
      </c>
      <c r="E49" s="91" t="s">
        <v>54</v>
      </c>
      <c r="F49" s="217"/>
      <c r="G49" s="91"/>
      <c r="H49" s="91"/>
      <c r="I49" s="104">
        <v>17</v>
      </c>
      <c r="J49" s="104">
        <f>+Tabel1[[#This Row],[Stk i juli]]/$J$5</f>
        <v>0.85</v>
      </c>
      <c r="K49" s="104">
        <f>+Tabel1[[#This Row],[stk pr dag]]*$J$4</f>
        <v>4.25</v>
      </c>
      <c r="L49" s="135"/>
      <c r="M49" s="124">
        <f>Tabel1[[#This Row],[stk 5 dage buffer ]]+Tabel1[[#This Row],[G&amp;V Klaksvik
Par 10 ]]</f>
        <v>4.25</v>
      </c>
      <c r="N49" s="91"/>
      <c r="O49" s="104">
        <f>+Tabel1[[#This Row],[stk 5 dage buffer ]]*Tabel1[[#This Row],[inkøbspris pr stk]]</f>
        <v>0</v>
      </c>
      <c r="P49" s="104"/>
      <c r="Q49" s="91"/>
      <c r="R49" s="91"/>
      <c r="S49" s="91"/>
      <c r="T49" s="92"/>
    </row>
    <row r="50" spans="1:20" ht="19.5" hidden="1" customHeight="1" x14ac:dyDescent="0.25">
      <c r="B50" s="90" t="s">
        <v>358</v>
      </c>
      <c r="C50" s="90" t="s">
        <v>465</v>
      </c>
      <c r="D50" s="91" t="s">
        <v>204</v>
      </c>
      <c r="E50" s="91" t="s">
        <v>55</v>
      </c>
      <c r="F50" s="217"/>
      <c r="G50" s="91"/>
      <c r="H50" s="91" t="s">
        <v>315</v>
      </c>
      <c r="I50" s="104">
        <v>9</v>
      </c>
      <c r="J50" s="104">
        <f>+Tabel1[[#This Row],[Stk i juli]]/$J$5</f>
        <v>0.45</v>
      </c>
      <c r="K50" s="104">
        <f>+Tabel1[[#This Row],[stk pr dag]]*$J$4</f>
        <v>2.25</v>
      </c>
      <c r="L50" s="135"/>
      <c r="M50" s="124">
        <f>Tabel1[[#This Row],[stk 5 dage buffer ]]+Tabel1[[#This Row],[G&amp;V Klaksvik
Par 10 ]]</f>
        <v>2.25</v>
      </c>
      <c r="N50" s="91"/>
      <c r="O50" s="104">
        <f>+Tabel1[[#This Row],[stk 5 dage buffer ]]*Tabel1[[#This Row],[inkøbspris pr stk]]</f>
        <v>0</v>
      </c>
      <c r="P50" s="104"/>
      <c r="Q50" s="91"/>
      <c r="R50" s="91"/>
      <c r="S50" s="91"/>
      <c r="T50" s="92"/>
    </row>
    <row r="51" spans="1:20" ht="19.5" hidden="1" customHeight="1" x14ac:dyDescent="0.25">
      <c r="B51" s="90" t="s">
        <v>359</v>
      </c>
      <c r="C51" s="90" t="s">
        <v>465</v>
      </c>
      <c r="D51" s="91" t="s">
        <v>204</v>
      </c>
      <c r="E51" s="91" t="s">
        <v>56</v>
      </c>
      <c r="F51" s="217"/>
      <c r="G51" s="91"/>
      <c r="H51" s="91" t="s">
        <v>316</v>
      </c>
      <c r="I51" s="104">
        <v>2</v>
      </c>
      <c r="J51" s="104">
        <f>+Tabel1[[#This Row],[Stk i juli]]/$J$5</f>
        <v>0.1</v>
      </c>
      <c r="K51" s="104">
        <f>+Tabel1[[#This Row],[stk pr dag]]*$J$4</f>
        <v>0.5</v>
      </c>
      <c r="L51" s="135"/>
      <c r="M51" s="124">
        <f>Tabel1[[#This Row],[stk 5 dage buffer ]]+Tabel1[[#This Row],[G&amp;V Klaksvik
Par 10 ]]</f>
        <v>0.5</v>
      </c>
      <c r="N51" s="91"/>
      <c r="O51" s="104">
        <f>+Tabel1[[#This Row],[stk 5 dage buffer ]]*Tabel1[[#This Row],[inkøbspris pr stk]]</f>
        <v>0</v>
      </c>
      <c r="P51" s="104"/>
      <c r="Q51" s="91"/>
      <c r="R51" s="91"/>
      <c r="S51" s="91"/>
      <c r="T51" s="92"/>
    </row>
    <row r="52" spans="1:20" ht="19.5" hidden="1" customHeight="1" x14ac:dyDescent="0.25">
      <c r="B52" s="90" t="s">
        <v>360</v>
      </c>
      <c r="C52" s="90" t="s">
        <v>465</v>
      </c>
      <c r="D52" s="91" t="s">
        <v>204</v>
      </c>
      <c r="E52" s="91" t="s">
        <v>57</v>
      </c>
      <c r="F52" s="217"/>
      <c r="G52" s="91"/>
      <c r="H52" s="91" t="s">
        <v>317</v>
      </c>
      <c r="I52" s="104">
        <v>9</v>
      </c>
      <c r="J52" s="104">
        <f>+Tabel1[[#This Row],[Stk i juli]]/$J$5</f>
        <v>0.45</v>
      </c>
      <c r="K52" s="104">
        <f>+Tabel1[[#This Row],[stk pr dag]]*$J$4</f>
        <v>2.25</v>
      </c>
      <c r="L52" s="135"/>
      <c r="M52" s="124">
        <f>Tabel1[[#This Row],[stk 5 dage buffer ]]+Tabel1[[#This Row],[G&amp;V Klaksvik
Par 10 ]]</f>
        <v>2.25</v>
      </c>
      <c r="N52" s="91"/>
      <c r="O52" s="104">
        <f>+Tabel1[[#This Row],[stk 5 dage buffer ]]*Tabel1[[#This Row],[inkøbspris pr stk]]</f>
        <v>0</v>
      </c>
      <c r="P52" s="104"/>
      <c r="Q52" s="91"/>
      <c r="R52" s="91"/>
      <c r="S52" s="91"/>
      <c r="T52" s="92"/>
    </row>
    <row r="53" spans="1:20" ht="19.5" hidden="1" customHeight="1" x14ac:dyDescent="0.25">
      <c r="B53" s="99" t="s">
        <v>342</v>
      </c>
      <c r="C53" s="99"/>
      <c r="D53" s="91" t="s">
        <v>203</v>
      </c>
      <c r="E53" s="91" t="s">
        <v>58</v>
      </c>
      <c r="F53" s="217"/>
      <c r="G53" s="91"/>
      <c r="H53" s="91"/>
      <c r="I53" s="104">
        <v>64</v>
      </c>
      <c r="J53" s="104">
        <f>+Tabel1[[#This Row],[Stk i juli]]/$J$5</f>
        <v>3.2</v>
      </c>
      <c r="K53" s="104">
        <f>+Tabel1[[#This Row],[stk pr dag]]*$J$4</f>
        <v>16</v>
      </c>
      <c r="L53" s="135"/>
      <c r="M53" s="124">
        <f>Tabel1[[#This Row],[stk 5 dage buffer ]]+Tabel1[[#This Row],[G&amp;V Klaksvik
Par 10 ]]</f>
        <v>16</v>
      </c>
      <c r="N53" s="91"/>
      <c r="O53" s="104">
        <f>+Tabel1[[#This Row],[stk 5 dage buffer ]]*Tabel1[[#This Row],[inkøbspris pr stk]]</f>
        <v>0</v>
      </c>
      <c r="P53" s="104"/>
      <c r="Q53" s="91"/>
      <c r="R53" s="91"/>
      <c r="S53" s="91"/>
      <c r="T53" s="92"/>
    </row>
    <row r="54" spans="1:20" ht="19.5" hidden="1" customHeight="1" x14ac:dyDescent="0.25">
      <c r="B54" s="90" t="s">
        <v>361</v>
      </c>
      <c r="C54" s="90" t="s">
        <v>465</v>
      </c>
      <c r="D54" s="91" t="s">
        <v>205</v>
      </c>
      <c r="E54" s="91" t="s">
        <v>80</v>
      </c>
      <c r="F54" s="217"/>
      <c r="G54" s="91"/>
      <c r="H54" s="91"/>
      <c r="I54" s="104"/>
      <c r="J54" s="104">
        <f>+Tabel1[[#This Row],[Stk i juli]]/$J$5</f>
        <v>0</v>
      </c>
      <c r="K54" s="104">
        <f>+Tabel1[[#This Row],[stk pr dag]]*$J$4</f>
        <v>0</v>
      </c>
      <c r="L54" s="135"/>
      <c r="M54" s="124">
        <f>Tabel1[[#This Row],[stk 5 dage buffer ]]+Tabel1[[#This Row],[G&amp;V Klaksvik
Par 10 ]]</f>
        <v>0</v>
      </c>
      <c r="N54" s="91"/>
      <c r="O54" s="104">
        <f>+Tabel1[[#This Row],[stk 5 dage buffer ]]*Tabel1[[#This Row],[inkøbspris pr stk]]</f>
        <v>0</v>
      </c>
      <c r="P54" s="104"/>
      <c r="Q54" s="91"/>
      <c r="R54" s="91"/>
      <c r="S54" s="91"/>
      <c r="T54" s="92"/>
    </row>
    <row r="55" spans="1:20" ht="19.5" hidden="1" customHeight="1" x14ac:dyDescent="0.25">
      <c r="B55" s="99" t="s">
        <v>342</v>
      </c>
      <c r="C55" s="99"/>
      <c r="D55" s="91" t="s">
        <v>204</v>
      </c>
      <c r="E55" s="91" t="s">
        <v>59</v>
      </c>
      <c r="F55" s="217"/>
      <c r="G55" s="91"/>
      <c r="H55" s="91"/>
      <c r="I55" s="104">
        <v>671</v>
      </c>
      <c r="J55" s="104">
        <f>+Tabel1[[#This Row],[Stk i juli]]/$J$5</f>
        <v>33.549999999999997</v>
      </c>
      <c r="K55" s="104">
        <f>+Tabel1[[#This Row],[stk pr dag]]*$J$4</f>
        <v>167.75</v>
      </c>
      <c r="L55" s="135"/>
      <c r="M55" s="124">
        <f>Tabel1[[#This Row],[stk 5 dage buffer ]]+Tabel1[[#This Row],[G&amp;V Klaksvik
Par 10 ]]</f>
        <v>167.75</v>
      </c>
      <c r="N55" s="91"/>
      <c r="O55" s="104">
        <f>+Tabel1[[#This Row],[stk 5 dage buffer ]]*Tabel1[[#This Row],[inkøbspris pr stk]]</f>
        <v>0</v>
      </c>
      <c r="P55" s="104"/>
      <c r="Q55" s="91"/>
      <c r="R55" s="91"/>
      <c r="S55" s="91"/>
      <c r="T55" s="92"/>
    </row>
    <row r="56" spans="1:20" ht="19.5" hidden="1" customHeight="1" x14ac:dyDescent="0.25">
      <c r="B56" s="99" t="s">
        <v>342</v>
      </c>
      <c r="C56" s="99"/>
      <c r="D56" s="91" t="s">
        <v>203</v>
      </c>
      <c r="E56" s="91" t="s">
        <v>60</v>
      </c>
      <c r="F56" s="217"/>
      <c r="G56" s="91"/>
      <c r="H56" s="91"/>
      <c r="I56" s="104">
        <v>96</v>
      </c>
      <c r="J56" s="104">
        <f>+Tabel1[[#This Row],[Stk i juli]]/$J$5</f>
        <v>4.8</v>
      </c>
      <c r="K56" s="104">
        <f>+Tabel1[[#This Row],[stk pr dag]]*$J$4</f>
        <v>24</v>
      </c>
      <c r="L56" s="135"/>
      <c r="M56" s="124">
        <f>Tabel1[[#This Row],[stk 5 dage buffer ]]+Tabel1[[#This Row],[G&amp;V Klaksvik
Par 10 ]]</f>
        <v>24</v>
      </c>
      <c r="N56" s="91"/>
      <c r="O56" s="104">
        <f>+Tabel1[[#This Row],[stk 5 dage buffer ]]*Tabel1[[#This Row],[inkøbspris pr stk]]</f>
        <v>0</v>
      </c>
      <c r="P56" s="104"/>
      <c r="Q56" s="91"/>
      <c r="R56" s="91"/>
      <c r="S56" s="91"/>
      <c r="T56" s="92"/>
    </row>
    <row r="57" spans="1:20" ht="19.5" hidden="1" customHeight="1" x14ac:dyDescent="0.25">
      <c r="B57" s="99" t="s">
        <v>342</v>
      </c>
      <c r="C57" s="99"/>
      <c r="D57" s="91" t="s">
        <v>203</v>
      </c>
      <c r="E57" s="91" t="s">
        <v>61</v>
      </c>
      <c r="F57" s="217"/>
      <c r="G57" s="91"/>
      <c r="H57" s="91"/>
      <c r="I57" s="104">
        <v>120</v>
      </c>
      <c r="J57" s="104">
        <f>+Tabel1[[#This Row],[Stk i juli]]/$J$5</f>
        <v>6</v>
      </c>
      <c r="K57" s="104">
        <f>+Tabel1[[#This Row],[stk pr dag]]*$J$4</f>
        <v>30</v>
      </c>
      <c r="L57" s="135"/>
      <c r="M57" s="124">
        <f>Tabel1[[#This Row],[stk 5 dage buffer ]]+Tabel1[[#This Row],[G&amp;V Klaksvik
Par 10 ]]</f>
        <v>30</v>
      </c>
      <c r="N57" s="91"/>
      <c r="O57" s="104">
        <f>+Tabel1[[#This Row],[stk 5 dage buffer ]]*Tabel1[[#This Row],[inkøbspris pr stk]]</f>
        <v>0</v>
      </c>
      <c r="P57" s="104"/>
      <c r="Q57" s="91"/>
      <c r="R57" s="91"/>
      <c r="S57" s="91"/>
      <c r="T57" s="92"/>
    </row>
    <row r="58" spans="1:20" ht="19.5" hidden="1" customHeight="1" x14ac:dyDescent="0.25">
      <c r="B58" s="99" t="s">
        <v>342</v>
      </c>
      <c r="C58" s="99"/>
      <c r="D58" s="91" t="s">
        <v>203</v>
      </c>
      <c r="E58" s="91" t="s">
        <v>62</v>
      </c>
      <c r="F58" s="217"/>
      <c r="G58" s="91"/>
      <c r="H58" s="91"/>
      <c r="I58" s="104">
        <v>360</v>
      </c>
      <c r="J58" s="104">
        <f>+Tabel1[[#This Row],[Stk i juli]]/$J$5</f>
        <v>18</v>
      </c>
      <c r="K58" s="104">
        <f>+Tabel1[[#This Row],[stk pr dag]]*$J$4</f>
        <v>90</v>
      </c>
      <c r="L58" s="135"/>
      <c r="M58" s="124">
        <f>Tabel1[[#This Row],[stk 5 dage buffer ]]+Tabel1[[#This Row],[G&amp;V Klaksvik
Par 10 ]]</f>
        <v>90</v>
      </c>
      <c r="N58" s="91"/>
      <c r="O58" s="104">
        <f>+Tabel1[[#This Row],[stk 5 dage buffer ]]*Tabel1[[#This Row],[inkøbspris pr stk]]</f>
        <v>0</v>
      </c>
      <c r="P58" s="104"/>
      <c r="Q58" s="91"/>
      <c r="R58" s="91"/>
      <c r="S58" s="91"/>
      <c r="T58" s="92"/>
    </row>
    <row r="59" spans="1:20" ht="19.5" hidden="1" customHeight="1" x14ac:dyDescent="0.25">
      <c r="B59" s="99" t="s">
        <v>342</v>
      </c>
      <c r="C59" s="99"/>
      <c r="D59" s="91" t="s">
        <v>203</v>
      </c>
      <c r="E59" s="91" t="s">
        <v>63</v>
      </c>
      <c r="F59" s="217"/>
      <c r="G59" s="91"/>
      <c r="H59" s="91"/>
      <c r="I59" s="104">
        <v>190</v>
      </c>
      <c r="J59" s="104">
        <f>+Tabel1[[#This Row],[Stk i juli]]/$J$5</f>
        <v>9.5</v>
      </c>
      <c r="K59" s="104">
        <f>+Tabel1[[#This Row],[stk pr dag]]*$J$4</f>
        <v>47.5</v>
      </c>
      <c r="L59" s="135"/>
      <c r="M59" s="124">
        <f>Tabel1[[#This Row],[stk 5 dage buffer ]]+Tabel1[[#This Row],[G&amp;V Klaksvik
Par 10 ]]</f>
        <v>47.5</v>
      </c>
      <c r="N59" s="91"/>
      <c r="O59" s="104">
        <f>+Tabel1[[#This Row],[stk 5 dage buffer ]]*Tabel1[[#This Row],[inkøbspris pr stk]]</f>
        <v>0</v>
      </c>
      <c r="P59" s="104"/>
      <c r="Q59" s="91"/>
      <c r="R59" s="91"/>
      <c r="S59" s="91"/>
      <c r="T59" s="92"/>
    </row>
    <row r="60" spans="1:20" ht="19.5" hidden="1" customHeight="1" x14ac:dyDescent="0.25">
      <c r="B60" s="99" t="s">
        <v>342</v>
      </c>
      <c r="C60" s="99"/>
      <c r="D60" s="91" t="s">
        <v>203</v>
      </c>
      <c r="E60" s="91" t="s">
        <v>64</v>
      </c>
      <c r="F60" s="217"/>
      <c r="G60" s="91"/>
      <c r="H60" s="91"/>
      <c r="I60" s="104">
        <v>120</v>
      </c>
      <c r="J60" s="104">
        <f>+Tabel1[[#This Row],[Stk i juli]]/$J$5</f>
        <v>6</v>
      </c>
      <c r="K60" s="104">
        <f>+Tabel1[[#This Row],[stk pr dag]]*$J$4</f>
        <v>30</v>
      </c>
      <c r="L60" s="135"/>
      <c r="M60" s="124">
        <f>Tabel1[[#This Row],[stk 5 dage buffer ]]+Tabel1[[#This Row],[G&amp;V Klaksvik
Par 10 ]]</f>
        <v>30</v>
      </c>
      <c r="N60" s="91"/>
      <c r="O60" s="104">
        <f>+Tabel1[[#This Row],[stk 5 dage buffer ]]*Tabel1[[#This Row],[inkøbspris pr stk]]</f>
        <v>0</v>
      </c>
      <c r="P60" s="104"/>
      <c r="Q60" s="91"/>
      <c r="R60" s="91"/>
      <c r="S60" s="91"/>
      <c r="T60" s="92"/>
    </row>
    <row r="61" spans="1:20" ht="19.5" hidden="1" customHeight="1" x14ac:dyDescent="0.25">
      <c r="B61" s="90" t="s">
        <v>362</v>
      </c>
      <c r="C61" s="100" t="s">
        <v>465</v>
      </c>
      <c r="D61" s="91" t="s">
        <v>202</v>
      </c>
      <c r="E61" s="91" t="s">
        <v>65</v>
      </c>
      <c r="F61" s="217"/>
      <c r="G61" s="91"/>
      <c r="H61" s="91"/>
      <c r="I61" s="104">
        <v>630</v>
      </c>
      <c r="J61" s="104">
        <f>+Tabel1[[#This Row],[Stk i juli]]/$J$5</f>
        <v>31.5</v>
      </c>
      <c r="K61" s="104">
        <f>+Tabel1[[#This Row],[stk pr dag]]*$J$4</f>
        <v>157.5</v>
      </c>
      <c r="L61" s="135"/>
      <c r="M61" s="124">
        <f>Tabel1[[#This Row],[stk 5 dage buffer ]]+Tabel1[[#This Row],[G&amp;V Klaksvik
Par 10 ]]</f>
        <v>157.5</v>
      </c>
      <c r="N61" s="91"/>
      <c r="O61" s="104">
        <f>+Tabel1[[#This Row],[stk 5 dage buffer ]]*Tabel1[[#This Row],[inkøbspris pr stk]]</f>
        <v>0</v>
      </c>
      <c r="P61" s="104"/>
      <c r="Q61" s="91"/>
      <c r="R61" s="91"/>
      <c r="S61" s="91"/>
      <c r="T61" s="92"/>
    </row>
    <row r="62" spans="1:20" ht="19.5" hidden="1" customHeight="1" x14ac:dyDescent="0.25">
      <c r="B62" s="99" t="s">
        <v>342</v>
      </c>
      <c r="C62" s="99"/>
      <c r="D62" s="91" t="s">
        <v>202</v>
      </c>
      <c r="E62" s="91" t="s">
        <v>66</v>
      </c>
      <c r="F62" s="217"/>
      <c r="G62" s="91"/>
      <c r="H62" s="91"/>
      <c r="I62" s="104">
        <v>45</v>
      </c>
      <c r="J62" s="104">
        <f>+Tabel1[[#This Row],[Stk i juli]]/$J$5</f>
        <v>2.25</v>
      </c>
      <c r="K62" s="104">
        <f>+Tabel1[[#This Row],[stk pr dag]]*$J$4</f>
        <v>11.25</v>
      </c>
      <c r="L62" s="135"/>
      <c r="M62" s="124">
        <f>Tabel1[[#This Row],[stk 5 dage buffer ]]+Tabel1[[#This Row],[G&amp;V Klaksvik
Par 10 ]]</f>
        <v>11.25</v>
      </c>
      <c r="N62" s="91"/>
      <c r="O62" s="104">
        <f>+Tabel1[[#This Row],[stk 5 dage buffer ]]*Tabel1[[#This Row],[inkøbspris pr stk]]</f>
        <v>0</v>
      </c>
      <c r="P62" s="104"/>
      <c r="Q62" s="91"/>
      <c r="R62" s="91"/>
      <c r="S62" s="91"/>
      <c r="T62" s="92"/>
    </row>
    <row r="63" spans="1:20" ht="19.5" customHeight="1" x14ac:dyDescent="0.25">
      <c r="A63" s="121" t="s">
        <v>463</v>
      </c>
      <c r="B63" s="100" t="s">
        <v>530</v>
      </c>
      <c r="C63" s="90" t="s">
        <v>463</v>
      </c>
      <c r="D63" s="91" t="s">
        <v>200</v>
      </c>
      <c r="E63" s="91" t="s">
        <v>18</v>
      </c>
      <c r="F63" s="210" t="s">
        <v>665</v>
      </c>
      <c r="G63" s="208" t="s">
        <v>670</v>
      </c>
      <c r="H63" s="91" t="s">
        <v>302</v>
      </c>
      <c r="I63" s="124">
        <v>3154</v>
      </c>
      <c r="J63" s="124">
        <f>+Tabel1[[#This Row],[Stk i juli]]/$J$5</f>
        <v>157.69999999999999</v>
      </c>
      <c r="K63" s="124">
        <f>+Tabel1[[#This Row],[stk pr dag]]*$J$4</f>
        <v>788.5</v>
      </c>
      <c r="L63" s="135"/>
      <c r="M63" s="124">
        <f>Tabel1[[#This Row],[stk 5 dage buffer ]]+Tabel1[[#This Row],[G&amp;V Klaksvik
Par 10 ]]</f>
        <v>788.5</v>
      </c>
      <c r="N63" s="145">
        <v>73.53</v>
      </c>
      <c r="O63" s="104">
        <f>+Tabel1[[#This Row],[stk 5 dage buffer ]]*Tabel1[[#This Row],[inkøbspris pr stk]]</f>
        <v>57978.404999999999</v>
      </c>
      <c r="P63" s="104">
        <f>0.14*2.3*2.8</f>
        <v>0.90159999999999996</v>
      </c>
      <c r="Q63" s="111"/>
      <c r="R63" s="114">
        <v>150</v>
      </c>
      <c r="S63" s="107">
        <f>+Tabel1[[#This Row],[stk 5 dage buffer ]]/Tabel1[[#This Row],[stk pr container]]</f>
        <v>5.2566666666666668</v>
      </c>
      <c r="T63" s="108">
        <f t="shared" ref="T63" si="9">IF(S63=0,0,S63*$T$5)</f>
        <v>2.9437333333333338</v>
      </c>
    </row>
    <row r="64" spans="1:20" ht="19.5" hidden="1" customHeight="1" x14ac:dyDescent="0.25">
      <c r="B64" s="100" t="s">
        <v>483</v>
      </c>
      <c r="C64" s="100" t="s">
        <v>465</v>
      </c>
      <c r="D64" s="101" t="s">
        <v>199</v>
      </c>
      <c r="E64" s="91" t="s">
        <v>68</v>
      </c>
      <c r="F64" s="217"/>
      <c r="G64" s="91"/>
      <c r="H64" s="91" t="s">
        <v>318</v>
      </c>
      <c r="I64" s="104">
        <v>95</v>
      </c>
      <c r="J64" s="104">
        <f>+Tabel1[[#This Row],[Stk i juli]]/$J$5</f>
        <v>4.75</v>
      </c>
      <c r="K64" s="104">
        <f>+Tabel1[[#This Row],[stk pr dag]]*$J$4</f>
        <v>23.75</v>
      </c>
      <c r="L64" s="124"/>
      <c r="M64" s="124">
        <f>Tabel1[[#This Row],[stk 5 dage buffer ]]+Tabel1[[#This Row],[G&amp;V Klaksvik
Par 10 ]]</f>
        <v>23.75</v>
      </c>
      <c r="N64" s="91"/>
      <c r="O64" s="104">
        <f>+Tabel1[[#This Row],[stk 5 dage buffer ]]*Tabel1[[#This Row],[inkøbspris pr stk]]</f>
        <v>0</v>
      </c>
      <c r="P64" s="104"/>
      <c r="Q64" s="91"/>
      <c r="R64" s="91"/>
      <c r="S64" s="91"/>
      <c r="T64" s="92"/>
    </row>
    <row r="65" spans="2:20" ht="19.5" hidden="1" customHeight="1" x14ac:dyDescent="0.25">
      <c r="B65" s="90" t="s">
        <v>365</v>
      </c>
      <c r="C65" s="100" t="s">
        <v>465</v>
      </c>
      <c r="D65" s="91" t="s">
        <v>199</v>
      </c>
      <c r="E65" s="91" t="s">
        <v>69</v>
      </c>
      <c r="F65" s="217"/>
      <c r="G65" s="91"/>
      <c r="H65" s="91"/>
      <c r="I65" s="104">
        <v>5230</v>
      </c>
      <c r="J65" s="104">
        <f>+Tabel1[[#This Row],[Stk i juli]]/$J$5</f>
        <v>261.5</v>
      </c>
      <c r="K65" s="104">
        <f>+Tabel1[[#This Row],[stk pr dag]]*$J$4</f>
        <v>1307.5</v>
      </c>
      <c r="L65" s="124"/>
      <c r="M65" s="124">
        <f>Tabel1[[#This Row],[stk 5 dage buffer ]]+Tabel1[[#This Row],[G&amp;V Klaksvik
Par 10 ]]</f>
        <v>1307.5</v>
      </c>
      <c r="N65" s="91"/>
      <c r="O65" s="104">
        <f>+Tabel1[[#This Row],[stk 5 dage buffer ]]*Tabel1[[#This Row],[inkøbspris pr stk]]</f>
        <v>0</v>
      </c>
      <c r="P65" s="104"/>
      <c r="Q65" s="91"/>
      <c r="R65" s="91"/>
      <c r="S65" s="91"/>
      <c r="T65" s="92"/>
    </row>
    <row r="66" spans="2:20" ht="19.5" hidden="1" customHeight="1" x14ac:dyDescent="0.25">
      <c r="B66" s="90" t="s">
        <v>366</v>
      </c>
      <c r="C66" s="100" t="s">
        <v>465</v>
      </c>
      <c r="D66" s="91" t="s">
        <v>199</v>
      </c>
      <c r="E66" s="91" t="s">
        <v>71</v>
      </c>
      <c r="F66" s="217"/>
      <c r="G66" s="91"/>
      <c r="H66" s="91"/>
      <c r="I66" s="104">
        <v>2360</v>
      </c>
      <c r="J66" s="104">
        <f>+Tabel1[[#This Row],[Stk i juli]]/$J$5</f>
        <v>118</v>
      </c>
      <c r="K66" s="104">
        <f>+Tabel1[[#This Row],[stk pr dag]]*$J$4</f>
        <v>590</v>
      </c>
      <c r="L66" s="124"/>
      <c r="M66" s="124">
        <f>Tabel1[[#This Row],[stk 5 dage buffer ]]+Tabel1[[#This Row],[G&amp;V Klaksvik
Par 10 ]]</f>
        <v>590</v>
      </c>
      <c r="N66" s="91"/>
      <c r="O66" s="104">
        <f>+Tabel1[[#This Row],[stk 5 dage buffer ]]*Tabel1[[#This Row],[inkøbspris pr stk]]</f>
        <v>0</v>
      </c>
      <c r="P66" s="104"/>
      <c r="Q66" s="91"/>
      <c r="R66" s="91"/>
      <c r="S66" s="91"/>
      <c r="T66" s="92"/>
    </row>
    <row r="67" spans="2:20" ht="19.5" hidden="1" customHeight="1" x14ac:dyDescent="0.25">
      <c r="B67" s="90" t="s">
        <v>367</v>
      </c>
      <c r="C67" s="100" t="s">
        <v>465</v>
      </c>
      <c r="D67" s="91" t="s">
        <v>199</v>
      </c>
      <c r="E67" s="91" t="s">
        <v>72</v>
      </c>
      <c r="F67" s="217"/>
      <c r="G67" s="91"/>
      <c r="H67" s="91"/>
      <c r="I67" s="104">
        <v>320</v>
      </c>
      <c r="J67" s="104">
        <f>+Tabel1[[#This Row],[Stk i juli]]/$J$5</f>
        <v>16</v>
      </c>
      <c r="K67" s="104">
        <f>+Tabel1[[#This Row],[stk pr dag]]*$J$4</f>
        <v>80</v>
      </c>
      <c r="L67" s="124"/>
      <c r="M67" s="124">
        <f>Tabel1[[#This Row],[stk 5 dage buffer ]]+Tabel1[[#This Row],[G&amp;V Klaksvik
Par 10 ]]</f>
        <v>80</v>
      </c>
      <c r="N67" s="91"/>
      <c r="O67" s="104">
        <f>+Tabel1[[#This Row],[stk 5 dage buffer ]]*Tabel1[[#This Row],[inkøbspris pr stk]]</f>
        <v>0</v>
      </c>
      <c r="P67" s="104"/>
      <c r="Q67" s="91"/>
      <c r="R67" s="91"/>
      <c r="S67" s="91"/>
      <c r="T67" s="92"/>
    </row>
    <row r="68" spans="2:20" ht="19.5" hidden="1" customHeight="1" x14ac:dyDescent="0.25">
      <c r="B68" s="90" t="s">
        <v>368</v>
      </c>
      <c r="C68" s="100" t="s">
        <v>465</v>
      </c>
      <c r="D68" s="91" t="s">
        <v>199</v>
      </c>
      <c r="E68" s="91" t="s">
        <v>73</v>
      </c>
      <c r="F68" s="217"/>
      <c r="G68" s="91"/>
      <c r="H68" s="91"/>
      <c r="I68" s="104">
        <v>115</v>
      </c>
      <c r="J68" s="104">
        <f>+Tabel1[[#This Row],[Stk i juli]]/$J$5</f>
        <v>5.75</v>
      </c>
      <c r="K68" s="104">
        <f>+Tabel1[[#This Row],[stk pr dag]]*$J$4</f>
        <v>28.75</v>
      </c>
      <c r="L68" s="124"/>
      <c r="M68" s="124">
        <f>Tabel1[[#This Row],[stk 5 dage buffer ]]+Tabel1[[#This Row],[G&amp;V Klaksvik
Par 10 ]]</f>
        <v>28.75</v>
      </c>
      <c r="N68" s="91"/>
      <c r="O68" s="104">
        <f>+Tabel1[[#This Row],[stk 5 dage buffer ]]*Tabel1[[#This Row],[inkøbspris pr stk]]</f>
        <v>0</v>
      </c>
      <c r="P68" s="104"/>
      <c r="Q68" s="91"/>
      <c r="R68" s="91"/>
      <c r="S68" s="91"/>
      <c r="T68" s="92"/>
    </row>
    <row r="69" spans="2:20" ht="19.5" hidden="1" customHeight="1" x14ac:dyDescent="0.25">
      <c r="B69" s="90" t="s">
        <v>309</v>
      </c>
      <c r="C69" s="100" t="s">
        <v>465</v>
      </c>
      <c r="D69" s="91" t="s">
        <v>199</v>
      </c>
      <c r="E69" s="91" t="s">
        <v>74</v>
      </c>
      <c r="F69" s="217"/>
      <c r="G69" s="91"/>
      <c r="H69" s="91"/>
      <c r="I69" s="104">
        <v>1340</v>
      </c>
      <c r="J69" s="104">
        <f>+Tabel1[[#This Row],[Stk i juli]]/$J$5</f>
        <v>67</v>
      </c>
      <c r="K69" s="104">
        <f>+Tabel1[[#This Row],[stk pr dag]]*$J$4</f>
        <v>335</v>
      </c>
      <c r="L69" s="124"/>
      <c r="M69" s="124">
        <f>Tabel1[[#This Row],[stk 5 dage buffer ]]+Tabel1[[#This Row],[G&amp;V Klaksvik
Par 10 ]]</f>
        <v>335</v>
      </c>
      <c r="N69" s="91"/>
      <c r="O69" s="104">
        <f>+Tabel1[[#This Row],[stk 5 dage buffer ]]*Tabel1[[#This Row],[inkøbspris pr stk]]</f>
        <v>0</v>
      </c>
      <c r="P69" s="104"/>
      <c r="Q69" s="91"/>
      <c r="R69" s="91"/>
      <c r="S69" s="91"/>
      <c r="T69" s="92"/>
    </row>
    <row r="70" spans="2:20" ht="19.5" hidden="1" customHeight="1" x14ac:dyDescent="0.25">
      <c r="B70" s="90" t="s">
        <v>369</v>
      </c>
      <c r="C70" s="100" t="s">
        <v>465</v>
      </c>
      <c r="D70" s="91" t="s">
        <v>199</v>
      </c>
      <c r="E70" s="91" t="s">
        <v>75</v>
      </c>
      <c r="F70" s="217"/>
      <c r="G70" s="91"/>
      <c r="H70" s="91"/>
      <c r="I70" s="104">
        <v>6240</v>
      </c>
      <c r="J70" s="104">
        <f>+Tabel1[[#This Row],[Stk i juli]]/$J$5</f>
        <v>312</v>
      </c>
      <c r="K70" s="104">
        <f>+Tabel1[[#This Row],[stk pr dag]]*$J$4</f>
        <v>1560</v>
      </c>
      <c r="L70" s="124"/>
      <c r="M70" s="124">
        <f>Tabel1[[#This Row],[stk 5 dage buffer ]]+Tabel1[[#This Row],[G&amp;V Klaksvik
Par 10 ]]</f>
        <v>1560</v>
      </c>
      <c r="N70" s="91"/>
      <c r="O70" s="104">
        <f>+Tabel1[[#This Row],[stk 5 dage buffer ]]*Tabel1[[#This Row],[inkøbspris pr stk]]</f>
        <v>0</v>
      </c>
      <c r="P70" s="104"/>
      <c r="Q70" s="91"/>
      <c r="R70" s="91"/>
      <c r="S70" s="91"/>
      <c r="T70" s="92"/>
    </row>
    <row r="71" spans="2:20" ht="19.5" hidden="1" customHeight="1" x14ac:dyDescent="0.25">
      <c r="B71" s="103" t="s">
        <v>484</v>
      </c>
      <c r="C71" s="103" t="s">
        <v>465</v>
      </c>
      <c r="D71" s="91" t="s">
        <v>199</v>
      </c>
      <c r="E71" s="91" t="s">
        <v>76</v>
      </c>
      <c r="F71" s="217"/>
      <c r="G71" s="91"/>
      <c r="H71" s="91"/>
      <c r="I71" s="104">
        <v>2160</v>
      </c>
      <c r="J71" s="104">
        <f>+Tabel1[[#This Row],[Stk i juli]]/$J$5</f>
        <v>108</v>
      </c>
      <c r="K71" s="104">
        <f>+Tabel1[[#This Row],[stk pr dag]]*$J$4</f>
        <v>540</v>
      </c>
      <c r="L71" s="124"/>
      <c r="M71" s="124">
        <f>Tabel1[[#This Row],[stk 5 dage buffer ]]+Tabel1[[#This Row],[G&amp;V Klaksvik
Par 10 ]]</f>
        <v>540</v>
      </c>
      <c r="N71" s="91"/>
      <c r="O71" s="104">
        <f>+Tabel1[[#This Row],[stk 5 dage buffer ]]*Tabel1[[#This Row],[inkøbspris pr stk]]</f>
        <v>0</v>
      </c>
      <c r="P71" s="104"/>
      <c r="Q71" s="91"/>
      <c r="R71" s="91"/>
      <c r="S71" s="91"/>
      <c r="T71" s="92"/>
    </row>
    <row r="72" spans="2:20" ht="19.5" hidden="1" customHeight="1" x14ac:dyDescent="0.25">
      <c r="B72" s="90" t="s">
        <v>466</v>
      </c>
      <c r="C72" s="100" t="s">
        <v>465</v>
      </c>
      <c r="D72" s="91" t="s">
        <v>199</v>
      </c>
      <c r="E72" s="91" t="s">
        <v>77</v>
      </c>
      <c r="F72" s="217"/>
      <c r="G72" s="91"/>
      <c r="H72" s="91"/>
      <c r="I72" s="104">
        <v>2590</v>
      </c>
      <c r="J72" s="104">
        <f>+Tabel1[[#This Row],[Stk i juli]]/$J$5</f>
        <v>129.5</v>
      </c>
      <c r="K72" s="104">
        <f>+Tabel1[[#This Row],[stk pr dag]]*$J$4</f>
        <v>647.5</v>
      </c>
      <c r="L72" s="124"/>
      <c r="M72" s="124">
        <f>Tabel1[[#This Row],[stk 5 dage buffer ]]+Tabel1[[#This Row],[G&amp;V Klaksvik
Par 10 ]]</f>
        <v>647.5</v>
      </c>
      <c r="N72" s="91"/>
      <c r="O72" s="104">
        <f>+Tabel1[[#This Row],[stk 5 dage buffer ]]*Tabel1[[#This Row],[inkøbspris pr stk]]</f>
        <v>0</v>
      </c>
      <c r="P72" s="104"/>
      <c r="Q72" s="91"/>
      <c r="R72" s="91"/>
      <c r="S72" s="91"/>
      <c r="T72" s="92"/>
    </row>
    <row r="73" spans="2:20" ht="19.5" hidden="1" customHeight="1" x14ac:dyDescent="0.25">
      <c r="B73" s="90" t="s">
        <v>467</v>
      </c>
      <c r="C73" s="100" t="s">
        <v>465</v>
      </c>
      <c r="D73" s="91" t="s">
        <v>199</v>
      </c>
      <c r="E73" s="91" t="s">
        <v>78</v>
      </c>
      <c r="F73" s="217"/>
      <c r="G73" s="91"/>
      <c r="H73" s="91"/>
      <c r="I73" s="104">
        <v>3390</v>
      </c>
      <c r="J73" s="104">
        <f>+Tabel1[[#This Row],[Stk i juli]]/$J$5</f>
        <v>169.5</v>
      </c>
      <c r="K73" s="104">
        <f>+Tabel1[[#This Row],[stk pr dag]]*$J$4</f>
        <v>847.5</v>
      </c>
      <c r="L73" s="124"/>
      <c r="M73" s="124">
        <f>Tabel1[[#This Row],[stk 5 dage buffer ]]+Tabel1[[#This Row],[G&amp;V Klaksvik
Par 10 ]]</f>
        <v>847.5</v>
      </c>
      <c r="N73" s="91"/>
      <c r="O73" s="104">
        <f>+Tabel1[[#This Row],[stk 5 dage buffer ]]*Tabel1[[#This Row],[inkøbspris pr stk]]</f>
        <v>0</v>
      </c>
      <c r="P73" s="104"/>
      <c r="Q73" s="91"/>
      <c r="R73" s="91"/>
      <c r="S73" s="91"/>
      <c r="T73" s="92"/>
    </row>
    <row r="74" spans="2:20" ht="19.5" hidden="1" customHeight="1" x14ac:dyDescent="0.25">
      <c r="B74" s="99" t="s">
        <v>342</v>
      </c>
      <c r="C74" s="99"/>
      <c r="D74" s="91" t="s">
        <v>199</v>
      </c>
      <c r="E74" s="91" t="s">
        <v>79</v>
      </c>
      <c r="F74" s="217"/>
      <c r="G74" s="91"/>
      <c r="H74" s="91"/>
      <c r="I74" s="104">
        <v>24</v>
      </c>
      <c r="J74" s="104">
        <f>+Tabel1[[#This Row],[Stk i juli]]/$J$5</f>
        <v>1.2</v>
      </c>
      <c r="K74" s="104">
        <f>+Tabel1[[#This Row],[stk pr dag]]*$J$4</f>
        <v>6</v>
      </c>
      <c r="L74" s="124"/>
      <c r="M74" s="124">
        <f>Tabel1[[#This Row],[stk 5 dage buffer ]]+Tabel1[[#This Row],[G&amp;V Klaksvik
Par 10 ]]</f>
        <v>6</v>
      </c>
      <c r="N74" s="91"/>
      <c r="O74" s="104">
        <f>+Tabel1[[#This Row],[stk 5 dage buffer ]]*Tabel1[[#This Row],[inkøbspris pr stk]]</f>
        <v>0</v>
      </c>
      <c r="P74" s="104"/>
      <c r="Q74" s="91"/>
      <c r="R74" s="91"/>
      <c r="S74" s="91"/>
      <c r="T74" s="92"/>
    </row>
    <row r="75" spans="2:20" ht="19.5" hidden="1" customHeight="1" x14ac:dyDescent="0.25">
      <c r="B75" s="90" t="s">
        <v>372</v>
      </c>
      <c r="C75" s="100" t="s">
        <v>465</v>
      </c>
      <c r="D75" s="91" t="s">
        <v>199</v>
      </c>
      <c r="E75" s="91" t="s">
        <v>81</v>
      </c>
      <c r="F75" s="217"/>
      <c r="G75" s="91"/>
      <c r="H75" s="91"/>
      <c r="I75" s="104">
        <v>50</v>
      </c>
      <c r="J75" s="104">
        <f>+Tabel1[[#This Row],[Stk i juli]]/$J$5</f>
        <v>2.5</v>
      </c>
      <c r="K75" s="104">
        <f>+Tabel1[[#This Row],[stk pr dag]]*$J$4</f>
        <v>12.5</v>
      </c>
      <c r="L75" s="124"/>
      <c r="M75" s="124">
        <f>Tabel1[[#This Row],[stk 5 dage buffer ]]+Tabel1[[#This Row],[G&amp;V Klaksvik
Par 10 ]]</f>
        <v>12.5</v>
      </c>
      <c r="N75" s="91"/>
      <c r="O75" s="104">
        <f>+Tabel1[[#This Row],[stk 5 dage buffer ]]*Tabel1[[#This Row],[inkøbspris pr stk]]</f>
        <v>0</v>
      </c>
      <c r="P75" s="104"/>
      <c r="Q75" s="91"/>
      <c r="R75" s="91"/>
      <c r="S75" s="91"/>
      <c r="T75" s="92"/>
    </row>
    <row r="76" spans="2:20" ht="19.5" hidden="1" customHeight="1" x14ac:dyDescent="0.25">
      <c r="B76" s="90" t="s">
        <v>373</v>
      </c>
      <c r="C76" s="100" t="s">
        <v>465</v>
      </c>
      <c r="D76" s="91" t="s">
        <v>205</v>
      </c>
      <c r="E76" s="91" t="s">
        <v>124</v>
      </c>
      <c r="F76" s="217"/>
      <c r="G76" s="91"/>
      <c r="H76" s="91"/>
      <c r="I76" s="104"/>
      <c r="J76" s="104">
        <f>+Tabel1[[#This Row],[Stk i juli]]/$J$5</f>
        <v>0</v>
      </c>
      <c r="K76" s="104">
        <f>+Tabel1[[#This Row],[stk pr dag]]*$J$4</f>
        <v>0</v>
      </c>
      <c r="L76" s="124"/>
      <c r="M76" s="124">
        <f>Tabel1[[#This Row],[stk 5 dage buffer ]]+Tabel1[[#This Row],[G&amp;V Klaksvik
Par 10 ]]</f>
        <v>0</v>
      </c>
      <c r="N76" s="91"/>
      <c r="O76" s="104">
        <f>+Tabel1[[#This Row],[stk 5 dage buffer ]]*Tabel1[[#This Row],[inkøbspris pr stk]]</f>
        <v>0</v>
      </c>
      <c r="P76" s="104"/>
      <c r="Q76" s="91"/>
      <c r="R76" s="91"/>
      <c r="S76" s="91"/>
      <c r="T76" s="92"/>
    </row>
    <row r="77" spans="2:20" ht="19.5" hidden="1" customHeight="1" x14ac:dyDescent="0.25">
      <c r="B77" s="90" t="s">
        <v>374</v>
      </c>
      <c r="C77" s="100" t="s">
        <v>465</v>
      </c>
      <c r="D77" s="91" t="s">
        <v>205</v>
      </c>
      <c r="E77" s="91" t="s">
        <v>125</v>
      </c>
      <c r="F77" s="217"/>
      <c r="G77" s="91"/>
      <c r="H77" s="91"/>
      <c r="I77" s="104"/>
      <c r="J77" s="104">
        <f>+Tabel1[[#This Row],[Stk i juli]]/$J$5</f>
        <v>0</v>
      </c>
      <c r="K77" s="104">
        <f>+Tabel1[[#This Row],[stk pr dag]]*$J$4</f>
        <v>0</v>
      </c>
      <c r="L77" s="124"/>
      <c r="M77" s="124">
        <f>Tabel1[[#This Row],[stk 5 dage buffer ]]+Tabel1[[#This Row],[G&amp;V Klaksvik
Par 10 ]]</f>
        <v>0</v>
      </c>
      <c r="N77" s="91"/>
      <c r="O77" s="104">
        <f>+Tabel1[[#This Row],[stk 5 dage buffer ]]*Tabel1[[#This Row],[inkøbspris pr stk]]</f>
        <v>0</v>
      </c>
      <c r="P77" s="104"/>
      <c r="Q77" s="91"/>
      <c r="R77" s="91"/>
      <c r="S77" s="91"/>
      <c r="T77" s="92"/>
    </row>
    <row r="78" spans="2:20" ht="19.5" hidden="1" customHeight="1" x14ac:dyDescent="0.25">
      <c r="B78" s="90" t="s">
        <v>375</v>
      </c>
      <c r="C78" s="100" t="s">
        <v>465</v>
      </c>
      <c r="D78" s="91" t="s">
        <v>205</v>
      </c>
      <c r="E78" s="91" t="s">
        <v>82</v>
      </c>
      <c r="F78" s="217"/>
      <c r="G78" s="91"/>
      <c r="H78" s="91" t="s">
        <v>323</v>
      </c>
      <c r="I78" s="104">
        <v>1542</v>
      </c>
      <c r="J78" s="104">
        <f>+Tabel1[[#This Row],[Stk i juli]]/$J$5</f>
        <v>77.099999999999994</v>
      </c>
      <c r="K78" s="104">
        <f>+Tabel1[[#This Row],[stk pr dag]]*$J$4</f>
        <v>385.5</v>
      </c>
      <c r="L78" s="124"/>
      <c r="M78" s="124">
        <f>Tabel1[[#This Row],[stk 5 dage buffer ]]+Tabel1[[#This Row],[G&amp;V Klaksvik
Par 10 ]]</f>
        <v>385.5</v>
      </c>
      <c r="N78" s="91"/>
      <c r="O78" s="104">
        <f>+Tabel1[[#This Row],[stk 5 dage buffer ]]*Tabel1[[#This Row],[inkøbspris pr stk]]</f>
        <v>0</v>
      </c>
      <c r="P78" s="104"/>
      <c r="Q78" s="91"/>
      <c r="R78" s="91"/>
      <c r="S78" s="91"/>
      <c r="T78" s="92"/>
    </row>
    <row r="79" spans="2:20" ht="19.5" hidden="1" customHeight="1" x14ac:dyDescent="0.25">
      <c r="B79" s="99" t="s">
        <v>342</v>
      </c>
      <c r="C79" s="99"/>
      <c r="D79" s="91" t="s">
        <v>199</v>
      </c>
      <c r="E79" s="91" t="s">
        <v>83</v>
      </c>
      <c r="F79" s="217"/>
      <c r="G79" s="91"/>
      <c r="H79" s="91"/>
      <c r="I79" s="104">
        <v>4</v>
      </c>
      <c r="J79" s="104">
        <f>+Tabel1[[#This Row],[Stk i juli]]/$J$5</f>
        <v>0.2</v>
      </c>
      <c r="K79" s="104">
        <f>+Tabel1[[#This Row],[stk pr dag]]*$J$4</f>
        <v>1</v>
      </c>
      <c r="L79" s="124"/>
      <c r="M79" s="124">
        <f>Tabel1[[#This Row],[stk 5 dage buffer ]]+Tabel1[[#This Row],[G&amp;V Klaksvik
Par 10 ]]</f>
        <v>1</v>
      </c>
      <c r="N79" s="91"/>
      <c r="O79" s="104">
        <f>+Tabel1[[#This Row],[stk 5 dage buffer ]]*Tabel1[[#This Row],[inkøbspris pr stk]]</f>
        <v>0</v>
      </c>
      <c r="P79" s="104"/>
      <c r="Q79" s="91"/>
      <c r="R79" s="91"/>
      <c r="S79" s="91"/>
      <c r="T79" s="92"/>
    </row>
    <row r="80" spans="2:20" ht="19.5" hidden="1" customHeight="1" x14ac:dyDescent="0.25">
      <c r="B80" s="99" t="s">
        <v>342</v>
      </c>
      <c r="C80" s="99"/>
      <c r="D80" s="91" t="s">
        <v>199</v>
      </c>
      <c r="E80" s="91" t="s">
        <v>89</v>
      </c>
      <c r="F80" s="217"/>
      <c r="G80" s="91"/>
      <c r="H80" s="91"/>
      <c r="I80" s="104">
        <v>30</v>
      </c>
      <c r="J80" s="104">
        <f>+Tabel1[[#This Row],[Stk i juli]]/$J$5</f>
        <v>1.5</v>
      </c>
      <c r="K80" s="104">
        <f>+Tabel1[[#This Row],[stk pr dag]]*$J$4</f>
        <v>7.5</v>
      </c>
      <c r="L80" s="124"/>
      <c r="M80" s="124">
        <f>Tabel1[[#This Row],[stk 5 dage buffer ]]+Tabel1[[#This Row],[G&amp;V Klaksvik
Par 10 ]]</f>
        <v>7.5</v>
      </c>
      <c r="N80" s="91"/>
      <c r="O80" s="104">
        <f>+Tabel1[[#This Row],[stk 5 dage buffer ]]*Tabel1[[#This Row],[inkøbspris pr stk]]</f>
        <v>0</v>
      </c>
      <c r="P80" s="104"/>
      <c r="Q80" s="91"/>
      <c r="R80" s="91"/>
      <c r="S80" s="91"/>
      <c r="T80" s="92"/>
    </row>
    <row r="81" spans="1:20" ht="19.5" hidden="1" customHeight="1" x14ac:dyDescent="0.25">
      <c r="B81" s="99" t="s">
        <v>342</v>
      </c>
      <c r="C81" s="99"/>
      <c r="D81" s="91" t="s">
        <v>199</v>
      </c>
      <c r="E81" s="91" t="s">
        <v>90</v>
      </c>
      <c r="F81" s="217"/>
      <c r="G81" s="91"/>
      <c r="H81" s="91"/>
      <c r="I81" s="104">
        <v>30</v>
      </c>
      <c r="J81" s="104">
        <f>+Tabel1[[#This Row],[Stk i juli]]/$J$5</f>
        <v>1.5</v>
      </c>
      <c r="K81" s="104">
        <f>+Tabel1[[#This Row],[stk pr dag]]*$J$4</f>
        <v>7.5</v>
      </c>
      <c r="L81" s="124"/>
      <c r="M81" s="124">
        <f>Tabel1[[#This Row],[stk 5 dage buffer ]]+Tabel1[[#This Row],[G&amp;V Klaksvik
Par 10 ]]</f>
        <v>7.5</v>
      </c>
      <c r="N81" s="91"/>
      <c r="O81" s="104">
        <f>+Tabel1[[#This Row],[stk 5 dage buffer ]]*Tabel1[[#This Row],[inkøbspris pr stk]]</f>
        <v>0</v>
      </c>
      <c r="P81" s="104"/>
      <c r="Q81" s="91"/>
      <c r="R81" s="91"/>
      <c r="S81" s="91"/>
      <c r="T81" s="92"/>
    </row>
    <row r="82" spans="1:20" ht="19.5" hidden="1" customHeight="1" x14ac:dyDescent="0.25">
      <c r="B82" s="99" t="s">
        <v>342</v>
      </c>
      <c r="C82" s="99"/>
      <c r="D82" s="91" t="s">
        <v>199</v>
      </c>
      <c r="E82" s="91" t="s">
        <v>91</v>
      </c>
      <c r="F82" s="217"/>
      <c r="G82" s="91"/>
      <c r="H82" s="91"/>
      <c r="I82" s="104">
        <v>30</v>
      </c>
      <c r="J82" s="104">
        <f>+Tabel1[[#This Row],[Stk i juli]]/$J$5</f>
        <v>1.5</v>
      </c>
      <c r="K82" s="104">
        <f>+Tabel1[[#This Row],[stk pr dag]]*$J$4</f>
        <v>7.5</v>
      </c>
      <c r="L82" s="124"/>
      <c r="M82" s="124">
        <f>Tabel1[[#This Row],[stk 5 dage buffer ]]+Tabel1[[#This Row],[G&amp;V Klaksvik
Par 10 ]]</f>
        <v>7.5</v>
      </c>
      <c r="N82" s="91"/>
      <c r="O82" s="104">
        <f>+Tabel1[[#This Row],[stk 5 dage buffer ]]*Tabel1[[#This Row],[inkøbspris pr stk]]</f>
        <v>0</v>
      </c>
      <c r="P82" s="104"/>
      <c r="Q82" s="91"/>
      <c r="R82" s="91"/>
      <c r="S82" s="91"/>
      <c r="T82" s="92"/>
    </row>
    <row r="83" spans="1:20" ht="19.5" hidden="1" customHeight="1" x14ac:dyDescent="0.25">
      <c r="B83" s="90" t="s">
        <v>376</v>
      </c>
      <c r="C83" s="100" t="s">
        <v>465</v>
      </c>
      <c r="D83" s="91" t="s">
        <v>199</v>
      </c>
      <c r="E83" s="91" t="s">
        <v>92</v>
      </c>
      <c r="F83" s="217"/>
      <c r="G83" s="91"/>
      <c r="H83" s="91"/>
      <c r="I83" s="104">
        <v>96</v>
      </c>
      <c r="J83" s="104">
        <f>+Tabel1[[#This Row],[Stk i juli]]/$J$5</f>
        <v>4.8</v>
      </c>
      <c r="K83" s="104">
        <f>+Tabel1[[#This Row],[stk pr dag]]*$J$4</f>
        <v>24</v>
      </c>
      <c r="L83" s="124"/>
      <c r="M83" s="124">
        <f>Tabel1[[#This Row],[stk 5 dage buffer ]]+Tabel1[[#This Row],[G&amp;V Klaksvik
Par 10 ]]</f>
        <v>24</v>
      </c>
      <c r="N83" s="91"/>
      <c r="O83" s="104">
        <f>+Tabel1[[#This Row],[stk 5 dage buffer ]]*Tabel1[[#This Row],[inkøbspris pr stk]]</f>
        <v>0</v>
      </c>
      <c r="P83" s="104"/>
      <c r="Q83" s="91"/>
      <c r="R83" s="91"/>
      <c r="S83" s="91"/>
      <c r="T83" s="92"/>
    </row>
    <row r="84" spans="1:20" ht="19.5" hidden="1" customHeight="1" x14ac:dyDescent="0.25">
      <c r="B84" s="99" t="s">
        <v>342</v>
      </c>
      <c r="C84" s="99"/>
      <c r="D84" s="91" t="s">
        <v>199</v>
      </c>
      <c r="E84" s="91" t="s">
        <v>93</v>
      </c>
      <c r="F84" s="217"/>
      <c r="G84" s="91"/>
      <c r="H84" s="91"/>
      <c r="I84" s="104">
        <v>282</v>
      </c>
      <c r="J84" s="104">
        <f>+Tabel1[[#This Row],[Stk i juli]]/$J$5</f>
        <v>14.1</v>
      </c>
      <c r="K84" s="104">
        <f>+Tabel1[[#This Row],[stk pr dag]]*$J$4</f>
        <v>70.5</v>
      </c>
      <c r="L84" s="124"/>
      <c r="M84" s="124">
        <f>Tabel1[[#This Row],[stk 5 dage buffer ]]+Tabel1[[#This Row],[G&amp;V Klaksvik
Par 10 ]]</f>
        <v>70.5</v>
      </c>
      <c r="N84" s="91"/>
      <c r="O84" s="104">
        <f>+Tabel1[[#This Row],[stk 5 dage buffer ]]*Tabel1[[#This Row],[inkøbspris pr stk]]</f>
        <v>0</v>
      </c>
      <c r="P84" s="104"/>
      <c r="Q84" s="91"/>
      <c r="R84" s="91"/>
      <c r="S84" s="91"/>
      <c r="T84" s="92"/>
    </row>
    <row r="85" spans="1:20" ht="19.5" hidden="1" customHeight="1" x14ac:dyDescent="0.25">
      <c r="B85" s="99" t="s">
        <v>342</v>
      </c>
      <c r="C85" s="99"/>
      <c r="D85" s="91" t="s">
        <v>204</v>
      </c>
      <c r="E85" s="91" t="s">
        <v>94</v>
      </c>
      <c r="F85" s="217"/>
      <c r="G85" s="91"/>
      <c r="H85" s="91" t="s">
        <v>319</v>
      </c>
      <c r="I85" s="104">
        <v>14</v>
      </c>
      <c r="J85" s="104">
        <f>+Tabel1[[#This Row],[Stk i juli]]/$J$5</f>
        <v>0.7</v>
      </c>
      <c r="K85" s="104">
        <f>+Tabel1[[#This Row],[stk pr dag]]*$J$4</f>
        <v>3.5</v>
      </c>
      <c r="L85" s="124"/>
      <c r="M85" s="124">
        <f>Tabel1[[#This Row],[stk 5 dage buffer ]]+Tabel1[[#This Row],[G&amp;V Klaksvik
Par 10 ]]</f>
        <v>3.5</v>
      </c>
      <c r="N85" s="91"/>
      <c r="O85" s="104">
        <f>+Tabel1[[#This Row],[stk 5 dage buffer ]]*Tabel1[[#This Row],[inkøbspris pr stk]]</f>
        <v>0</v>
      </c>
      <c r="P85" s="104"/>
      <c r="Q85" s="91"/>
      <c r="R85" s="91"/>
      <c r="S85" s="91"/>
      <c r="T85" s="92"/>
    </row>
    <row r="86" spans="1:20" ht="19.5" hidden="1" customHeight="1" x14ac:dyDescent="0.25">
      <c r="B86" s="99" t="s">
        <v>342</v>
      </c>
      <c r="C86" s="99"/>
      <c r="D86" s="91" t="s">
        <v>204</v>
      </c>
      <c r="E86" s="91" t="s">
        <v>95</v>
      </c>
      <c r="F86" s="217"/>
      <c r="G86" s="91"/>
      <c r="H86" s="91" t="s">
        <v>320</v>
      </c>
      <c r="I86" s="104">
        <v>206</v>
      </c>
      <c r="J86" s="104">
        <f>+Tabel1[[#This Row],[Stk i juli]]/$J$5</f>
        <v>10.3</v>
      </c>
      <c r="K86" s="104">
        <f>+Tabel1[[#This Row],[stk pr dag]]*$J$4</f>
        <v>51.5</v>
      </c>
      <c r="L86" s="124"/>
      <c r="M86" s="124">
        <f>Tabel1[[#This Row],[stk 5 dage buffer ]]+Tabel1[[#This Row],[G&amp;V Klaksvik
Par 10 ]]</f>
        <v>51.5</v>
      </c>
      <c r="N86" s="91"/>
      <c r="O86" s="104">
        <f>+Tabel1[[#This Row],[stk 5 dage buffer ]]*Tabel1[[#This Row],[inkøbspris pr stk]]</f>
        <v>0</v>
      </c>
      <c r="P86" s="104"/>
      <c r="Q86" s="91"/>
      <c r="R86" s="91"/>
      <c r="S86" s="91"/>
      <c r="T86" s="92"/>
    </row>
    <row r="87" spans="1:20" ht="19.5" hidden="1" customHeight="1" x14ac:dyDescent="0.25">
      <c r="A87" s="121"/>
      <c r="B87" s="90"/>
      <c r="C87" s="90"/>
      <c r="D87" s="91"/>
      <c r="E87" s="91"/>
      <c r="F87" s="217"/>
      <c r="G87" s="91"/>
      <c r="H87" s="91"/>
      <c r="I87" s="124"/>
      <c r="J87" s="124">
        <f>+Tabel1[[#This Row],[Stk i juli]]/$J$5</f>
        <v>0</v>
      </c>
      <c r="K87" s="124">
        <f>+Tabel1[[#This Row],[stk pr dag]]*$J$4</f>
        <v>0</v>
      </c>
      <c r="L87" s="124"/>
      <c r="M87" s="124">
        <f>Tabel1[[#This Row],[stk 5 dage buffer ]]+Tabel1[[#This Row],[G&amp;V Klaksvik
Par 10 ]]</f>
        <v>0</v>
      </c>
      <c r="N87" s="145"/>
      <c r="O87" s="104">
        <f>+Tabel1[[#This Row],[stk 5 dage buffer ]]*Tabel1[[#This Row],[inkøbspris pr stk]]</f>
        <v>0</v>
      </c>
      <c r="P87" s="104"/>
      <c r="Q87" s="91"/>
      <c r="R87" s="114"/>
      <c r="S87" s="107"/>
      <c r="T87" s="108"/>
    </row>
    <row r="88" spans="1:20" ht="19.5" customHeight="1" x14ac:dyDescent="0.25">
      <c r="A88" s="121" t="s">
        <v>463</v>
      </c>
      <c r="B88" s="100" t="s">
        <v>349</v>
      </c>
      <c r="C88" s="90" t="s">
        <v>463</v>
      </c>
      <c r="D88" s="91" t="s">
        <v>204</v>
      </c>
      <c r="E88" s="91" t="s">
        <v>35</v>
      </c>
      <c r="F88" s="206">
        <v>5</v>
      </c>
      <c r="G88" s="90" t="s">
        <v>579</v>
      </c>
      <c r="H88" s="91" t="s">
        <v>310</v>
      </c>
      <c r="I88" s="124">
        <v>24190</v>
      </c>
      <c r="J88" s="124">
        <f>+Tabel1[[#This Row],[Stk i juli]]/$J$5</f>
        <v>1209.5</v>
      </c>
      <c r="K88" s="124">
        <f>+Tabel1[[#This Row],[stk pr dag]]*$J$4</f>
        <v>6047.5</v>
      </c>
      <c r="L88" s="124">
        <v>3240</v>
      </c>
      <c r="M88" s="124">
        <f>Tabel1[[#This Row],[stk 5 dage buffer ]]+Tabel1[[#This Row],[G&amp;V Klaksvik
Par 10 ]]</f>
        <v>9287.5</v>
      </c>
      <c r="N88" s="145">
        <v>16.5</v>
      </c>
      <c r="O88" s="104">
        <f>+Tabel1[[#This Row],[stk 5 dage buffer ]]*Tabel1[[#This Row],[inkøbspris pr stk]]</f>
        <v>99783.75</v>
      </c>
      <c r="P88" s="104">
        <f>0.14*0.65*0.8*2</f>
        <v>0.14560000000000003</v>
      </c>
      <c r="Q88" s="91"/>
      <c r="R88" s="114">
        <v>360</v>
      </c>
      <c r="S88" s="107">
        <f>+Tabel1[[#This Row],[stk 5 dage buffer ]]/Tabel1[[#This Row],[stk pr container]]</f>
        <v>16.798611111111111</v>
      </c>
      <c r="T88" s="108">
        <f t="shared" ref="T88:T89" si="10">IF(S88=0,0,S88*$T$5)</f>
        <v>9.4072222222222237</v>
      </c>
    </row>
    <row r="89" spans="1:20" ht="19.5" hidden="1" customHeight="1" x14ac:dyDescent="0.25">
      <c r="A89" s="121" t="s">
        <v>506</v>
      </c>
      <c r="B89" s="90" t="s">
        <v>464</v>
      </c>
      <c r="C89" s="90" t="s">
        <v>465</v>
      </c>
      <c r="D89" s="91" t="s">
        <v>204</v>
      </c>
      <c r="E89" s="91" t="s">
        <v>39</v>
      </c>
      <c r="F89" s="217"/>
      <c r="G89" s="91"/>
      <c r="H89" s="91" t="s">
        <v>310</v>
      </c>
      <c r="I89" s="124">
        <v>119</v>
      </c>
      <c r="J89" s="124">
        <f>+Tabel1[[#This Row],[Stk i juli]]/$J$5</f>
        <v>5.95</v>
      </c>
      <c r="K89" s="138">
        <f>+Tabel1[[#This Row],[stk pr dag]]*$J$4</f>
        <v>29.75</v>
      </c>
      <c r="L89" s="135"/>
      <c r="M89" s="124">
        <f>Tabel1[[#This Row],[stk 5 dage buffer ]]+Tabel1[[#This Row],[G&amp;V Klaksvik
Par 10 ]]</f>
        <v>29.75</v>
      </c>
      <c r="N89" s="145">
        <v>27.37</v>
      </c>
      <c r="O89" s="104">
        <f>+Tabel1[[#This Row],[stk 5 dage buffer ]]*Tabel1[[#This Row],[inkøbspris pr stk]]</f>
        <v>814.25750000000005</v>
      </c>
      <c r="P89" s="104">
        <f>0.14*0.75*1.15*2</f>
        <v>0.24149999999999999</v>
      </c>
      <c r="Q89" s="91"/>
      <c r="R89" s="114">
        <v>220</v>
      </c>
      <c r="S89" s="107">
        <f>+Tabel1[[#This Row],[stk 5 dage buffer ]]/Tabel1[[#This Row],[stk pr container]]</f>
        <v>0.13522727272727272</v>
      </c>
      <c r="T89" s="108">
        <f t="shared" si="10"/>
        <v>7.5727272727272726E-2</v>
      </c>
    </row>
    <row r="90" spans="1:20" ht="19.5" hidden="1" customHeight="1" x14ac:dyDescent="0.25">
      <c r="B90" s="99" t="s">
        <v>342</v>
      </c>
      <c r="C90" s="99"/>
      <c r="D90" s="91" t="s">
        <v>204</v>
      </c>
      <c r="E90" s="91" t="s">
        <v>100</v>
      </c>
      <c r="F90" s="217"/>
      <c r="G90" s="91"/>
      <c r="H90" s="91" t="s">
        <v>306</v>
      </c>
      <c r="I90" s="104">
        <v>3492</v>
      </c>
      <c r="J90" s="104">
        <f>+Tabel1[[#This Row],[Stk i juli]]/$J$5</f>
        <v>174.6</v>
      </c>
      <c r="K90" s="104">
        <f>+Tabel1[[#This Row],[stk pr dag]]*$J$4</f>
        <v>873</v>
      </c>
      <c r="L90" s="124"/>
      <c r="M90" s="124">
        <f>Tabel1[[#This Row],[stk 5 dage buffer ]]+Tabel1[[#This Row],[G&amp;V Klaksvik
Par 10 ]]</f>
        <v>873</v>
      </c>
      <c r="N90" s="91"/>
      <c r="O90" s="104">
        <f>+Tabel1[[#This Row],[stk 5 dage buffer ]]*Tabel1[[#This Row],[inkøbspris pr stk]]</f>
        <v>0</v>
      </c>
      <c r="P90" s="104"/>
      <c r="Q90" s="91"/>
      <c r="R90" s="91"/>
      <c r="S90" s="91"/>
      <c r="T90" s="92"/>
    </row>
    <row r="91" spans="1:20" ht="19.5" customHeight="1" x14ac:dyDescent="0.25">
      <c r="A91" s="121" t="s">
        <v>463</v>
      </c>
      <c r="B91" s="100" t="s">
        <v>346</v>
      </c>
      <c r="C91" s="90" t="s">
        <v>463</v>
      </c>
      <c r="D91" s="91" t="s">
        <v>200</v>
      </c>
      <c r="E91" s="91" t="s">
        <v>30</v>
      </c>
      <c r="F91" s="206">
        <v>15</v>
      </c>
      <c r="G91" s="90" t="s">
        <v>611</v>
      </c>
      <c r="H91" s="91" t="s">
        <v>306</v>
      </c>
      <c r="I91" s="124">
        <v>19633</v>
      </c>
      <c r="J91" s="124">
        <f>+Tabel1[[#This Row],[Stk i juli]]/$J$5</f>
        <v>981.65</v>
      </c>
      <c r="K91" s="124">
        <f>+Tabel1[[#This Row],[stk pr dag]]*$J$4</f>
        <v>4908.25</v>
      </c>
      <c r="L91" s="124">
        <v>2000</v>
      </c>
      <c r="M91" s="124">
        <f>Tabel1[[#This Row],[stk 5 dage buffer ]]+Tabel1[[#This Row],[G&amp;V Klaksvik
Par 10 ]]</f>
        <v>6908.25</v>
      </c>
      <c r="N91" s="145">
        <v>7.43</v>
      </c>
      <c r="O91" s="104">
        <f>+Tabel1[[#This Row],[stk 5 dage buffer ]]*Tabel1[[#This Row],[inkøbspris pr stk]]</f>
        <v>36468.297500000001</v>
      </c>
      <c r="P91" s="104">
        <f>0.215*0.5*0.53</f>
        <v>5.6975000000000005E-2</v>
      </c>
      <c r="Q91" s="91"/>
      <c r="R91" s="114">
        <v>300</v>
      </c>
      <c r="S91" s="107">
        <f>+Tabel1[[#This Row],[stk 5 dage buffer ]]/Tabel1[[#This Row],[stk pr container]]</f>
        <v>16.360833333333332</v>
      </c>
      <c r="T91" s="108">
        <f t="shared" ref="T91:T92" si="11">IF(S91=0,0,S91*$T$5)</f>
        <v>9.1620666666666661</v>
      </c>
    </row>
    <row r="92" spans="1:20" ht="19.5" customHeight="1" x14ac:dyDescent="0.25">
      <c r="A92" s="121" t="s">
        <v>463</v>
      </c>
      <c r="B92" s="100" t="s">
        <v>309</v>
      </c>
      <c r="C92" s="90" t="s">
        <v>463</v>
      </c>
      <c r="D92" s="91" t="s">
        <v>200</v>
      </c>
      <c r="E92" s="91" t="s">
        <v>34</v>
      </c>
      <c r="F92" s="211" t="s">
        <v>671</v>
      </c>
      <c r="G92" s="111" t="s">
        <v>672</v>
      </c>
      <c r="H92" s="91" t="s">
        <v>309</v>
      </c>
      <c r="I92" s="124">
        <v>3616</v>
      </c>
      <c r="J92" s="124">
        <f>+Tabel1[[#This Row],[Stk i juli]]/$J$5</f>
        <v>180.8</v>
      </c>
      <c r="K92" s="124">
        <f>+Tabel1[[#This Row],[stk pr dag]]*$J$4</f>
        <v>904</v>
      </c>
      <c r="L92" s="126"/>
      <c r="M92" s="124">
        <f>Tabel1[[#This Row],[stk 5 dage buffer ]]+Tabel1[[#This Row],[G&amp;V Klaksvik
Par 10 ]]</f>
        <v>904</v>
      </c>
      <c r="N92" s="132">
        <v>50</v>
      </c>
      <c r="O92" s="104">
        <f>+Tabel1[[#This Row],[stk 5 dage buffer ]]*Tabel1[[#This Row],[inkøbspris pr stk]]</f>
        <v>45200</v>
      </c>
      <c r="P92" s="104">
        <v>0.3</v>
      </c>
      <c r="Q92" s="119" t="s">
        <v>504</v>
      </c>
      <c r="R92" s="114">
        <v>100</v>
      </c>
      <c r="S92" s="107">
        <f>+Tabel1[[#This Row],[stk 5 dage buffer ]]/Tabel1[[#This Row],[stk pr container]]</f>
        <v>9.0399999999999991</v>
      </c>
      <c r="T92" s="108">
        <f t="shared" si="11"/>
        <v>5.0624000000000002</v>
      </c>
    </row>
    <row r="93" spans="1:20" ht="19.5" hidden="1" customHeight="1" x14ac:dyDescent="0.25">
      <c r="B93" s="102" t="s">
        <v>350</v>
      </c>
      <c r="C93" s="102" t="s">
        <v>465</v>
      </c>
      <c r="D93" s="91" t="s">
        <v>204</v>
      </c>
      <c r="E93" s="91" t="s">
        <v>67</v>
      </c>
      <c r="F93" s="217"/>
      <c r="G93" s="91"/>
      <c r="H93" s="91"/>
      <c r="I93" s="104">
        <v>3</v>
      </c>
      <c r="J93" s="104">
        <f>+Tabel1[[#This Row],[Stk i juli]]/$J$5</f>
        <v>0.15</v>
      </c>
      <c r="K93" s="104">
        <f>+Tabel1[[#This Row],[stk pr dag]]*$J$4</f>
        <v>0.75</v>
      </c>
      <c r="L93" s="124"/>
      <c r="M93" s="124">
        <f>Tabel1[[#This Row],[stk 5 dage buffer ]]+Tabel1[[#This Row],[G&amp;V Klaksvik
Par 10 ]]</f>
        <v>0.75</v>
      </c>
      <c r="N93" s="91"/>
      <c r="O93" s="104">
        <f>+Tabel1[[#This Row],[stk 5 dage buffer ]]*Tabel1[[#This Row],[inkøbspris pr stk]]</f>
        <v>0</v>
      </c>
      <c r="P93" s="104"/>
      <c r="Q93" s="91"/>
      <c r="R93" s="91"/>
      <c r="S93" s="91"/>
      <c r="T93" s="92"/>
    </row>
    <row r="94" spans="1:20" ht="19.5" hidden="1" customHeight="1" x14ac:dyDescent="0.25">
      <c r="B94" s="90" t="s">
        <v>381</v>
      </c>
      <c r="C94" s="100" t="s">
        <v>465</v>
      </c>
      <c r="D94" s="91" t="s">
        <v>205</v>
      </c>
      <c r="E94" s="91" t="s">
        <v>104</v>
      </c>
      <c r="F94" s="217"/>
      <c r="G94" s="91"/>
      <c r="H94" s="91"/>
      <c r="I94" s="104">
        <v>2972</v>
      </c>
      <c r="J94" s="104">
        <f>+Tabel1[[#This Row],[Stk i juli]]/$J$5</f>
        <v>148.6</v>
      </c>
      <c r="K94" s="104">
        <f>+Tabel1[[#This Row],[stk pr dag]]*$J$4</f>
        <v>743</v>
      </c>
      <c r="L94" s="124"/>
      <c r="M94" s="124">
        <f>Tabel1[[#This Row],[stk 5 dage buffer ]]+Tabel1[[#This Row],[G&amp;V Klaksvik
Par 10 ]]</f>
        <v>743</v>
      </c>
      <c r="N94" s="91"/>
      <c r="O94" s="104">
        <f>+Tabel1[[#This Row],[stk 5 dage buffer ]]*Tabel1[[#This Row],[inkøbspris pr stk]]</f>
        <v>0</v>
      </c>
      <c r="P94" s="104"/>
      <c r="Q94" s="91"/>
      <c r="R94" s="91"/>
      <c r="S94" s="91"/>
      <c r="T94" s="92"/>
    </row>
    <row r="95" spans="1:20" ht="19.5" hidden="1" customHeight="1" x14ac:dyDescent="0.25">
      <c r="B95" s="90" t="s">
        <v>382</v>
      </c>
      <c r="C95" s="100" t="s">
        <v>465</v>
      </c>
      <c r="D95" s="91" t="s">
        <v>205</v>
      </c>
      <c r="E95" s="91" t="s">
        <v>105</v>
      </c>
      <c r="F95" s="217"/>
      <c r="G95" s="91"/>
      <c r="H95" s="91" t="s">
        <v>327</v>
      </c>
      <c r="I95" s="104">
        <v>1743</v>
      </c>
      <c r="J95" s="104">
        <f>+Tabel1[[#This Row],[Stk i juli]]/$J$5</f>
        <v>87.15</v>
      </c>
      <c r="K95" s="104">
        <f>+Tabel1[[#This Row],[stk pr dag]]*$J$4</f>
        <v>435.75</v>
      </c>
      <c r="L95" s="124"/>
      <c r="M95" s="124">
        <f>Tabel1[[#This Row],[stk 5 dage buffer ]]+Tabel1[[#This Row],[G&amp;V Klaksvik
Par 10 ]]</f>
        <v>435.75</v>
      </c>
      <c r="N95" s="91"/>
      <c r="O95" s="104">
        <f>+Tabel1[[#This Row],[stk 5 dage buffer ]]*Tabel1[[#This Row],[inkøbspris pr stk]]</f>
        <v>0</v>
      </c>
      <c r="P95" s="104"/>
      <c r="Q95" s="91"/>
      <c r="R95" s="91"/>
      <c r="S95" s="91"/>
      <c r="T95" s="92"/>
    </row>
    <row r="96" spans="1:20" ht="19.5" hidden="1" customHeight="1" x14ac:dyDescent="0.25">
      <c r="B96" s="90" t="s">
        <v>383</v>
      </c>
      <c r="C96" s="100" t="s">
        <v>465</v>
      </c>
      <c r="D96" s="91" t="s">
        <v>205</v>
      </c>
      <c r="E96" s="91" t="s">
        <v>106</v>
      </c>
      <c r="F96" s="217"/>
      <c r="G96" s="91"/>
      <c r="H96" s="91"/>
      <c r="I96" s="104">
        <v>375</v>
      </c>
      <c r="J96" s="104">
        <f>+Tabel1[[#This Row],[Stk i juli]]/$J$5</f>
        <v>18.75</v>
      </c>
      <c r="K96" s="104">
        <f>+Tabel1[[#This Row],[stk pr dag]]*$J$4</f>
        <v>93.75</v>
      </c>
      <c r="L96" s="124"/>
      <c r="M96" s="124">
        <f>Tabel1[[#This Row],[stk 5 dage buffer ]]+Tabel1[[#This Row],[G&amp;V Klaksvik
Par 10 ]]</f>
        <v>93.75</v>
      </c>
      <c r="N96" s="91"/>
      <c r="O96" s="104">
        <f>+Tabel1[[#This Row],[stk 5 dage buffer ]]*Tabel1[[#This Row],[inkøbspris pr stk]]</f>
        <v>0</v>
      </c>
      <c r="P96" s="104"/>
      <c r="Q96" s="91"/>
      <c r="R96" s="91"/>
      <c r="S96" s="91"/>
      <c r="T96" s="92"/>
    </row>
    <row r="97" spans="2:20" ht="19.5" hidden="1" customHeight="1" x14ac:dyDescent="0.25">
      <c r="B97" s="90" t="s">
        <v>384</v>
      </c>
      <c r="C97" s="100" t="s">
        <v>465</v>
      </c>
      <c r="D97" s="91" t="s">
        <v>205</v>
      </c>
      <c r="E97" s="91" t="s">
        <v>107</v>
      </c>
      <c r="F97" s="217"/>
      <c r="G97" s="91"/>
      <c r="H97" s="91" t="s">
        <v>299</v>
      </c>
      <c r="I97" s="104">
        <v>271</v>
      </c>
      <c r="J97" s="104">
        <f>+Tabel1[[#This Row],[Stk i juli]]/$J$5</f>
        <v>13.55</v>
      </c>
      <c r="K97" s="104">
        <f>+Tabel1[[#This Row],[stk pr dag]]*$J$4</f>
        <v>67.75</v>
      </c>
      <c r="L97" s="124"/>
      <c r="M97" s="124">
        <f>Tabel1[[#This Row],[stk 5 dage buffer ]]+Tabel1[[#This Row],[G&amp;V Klaksvik
Par 10 ]]</f>
        <v>67.75</v>
      </c>
      <c r="N97" s="91"/>
      <c r="O97" s="104">
        <f>+Tabel1[[#This Row],[stk 5 dage buffer ]]*Tabel1[[#This Row],[inkøbspris pr stk]]</f>
        <v>0</v>
      </c>
      <c r="P97" s="104"/>
      <c r="Q97" s="91"/>
      <c r="R97" s="91"/>
      <c r="S97" s="91"/>
      <c r="T97" s="92"/>
    </row>
    <row r="98" spans="2:20" ht="19.5" hidden="1" customHeight="1" x14ac:dyDescent="0.25">
      <c r="B98" s="90" t="s">
        <v>385</v>
      </c>
      <c r="C98" s="100" t="s">
        <v>465</v>
      </c>
      <c r="D98" s="91" t="s">
        <v>205</v>
      </c>
      <c r="E98" s="91" t="s">
        <v>108</v>
      </c>
      <c r="F98" s="217"/>
      <c r="G98" s="91"/>
      <c r="H98" s="91" t="s">
        <v>328</v>
      </c>
      <c r="I98" s="104">
        <v>2060</v>
      </c>
      <c r="J98" s="104">
        <f>+Tabel1[[#This Row],[Stk i juli]]/$J$5</f>
        <v>103</v>
      </c>
      <c r="K98" s="104">
        <f>+Tabel1[[#This Row],[stk pr dag]]*$J$4</f>
        <v>515</v>
      </c>
      <c r="L98" s="124"/>
      <c r="M98" s="124">
        <f>Tabel1[[#This Row],[stk 5 dage buffer ]]+Tabel1[[#This Row],[G&amp;V Klaksvik
Par 10 ]]</f>
        <v>515</v>
      </c>
      <c r="N98" s="91"/>
      <c r="O98" s="104">
        <f>+Tabel1[[#This Row],[stk 5 dage buffer ]]*Tabel1[[#This Row],[inkøbspris pr stk]]</f>
        <v>0</v>
      </c>
      <c r="P98" s="104"/>
      <c r="Q98" s="91"/>
      <c r="R98" s="91"/>
      <c r="S98" s="91"/>
      <c r="T98" s="92"/>
    </row>
    <row r="99" spans="2:20" ht="19.5" hidden="1" customHeight="1" x14ac:dyDescent="0.25">
      <c r="B99" s="90" t="s">
        <v>386</v>
      </c>
      <c r="C99" s="100" t="s">
        <v>465</v>
      </c>
      <c r="D99" s="91" t="s">
        <v>205</v>
      </c>
      <c r="E99" s="91" t="s">
        <v>109</v>
      </c>
      <c r="F99" s="217"/>
      <c r="G99" s="91"/>
      <c r="H99" s="91"/>
      <c r="I99" s="104">
        <v>215</v>
      </c>
      <c r="J99" s="104">
        <f>+Tabel1[[#This Row],[Stk i juli]]/$J$5</f>
        <v>10.75</v>
      </c>
      <c r="K99" s="104">
        <f>+Tabel1[[#This Row],[stk pr dag]]*$J$4</f>
        <v>53.75</v>
      </c>
      <c r="L99" s="124"/>
      <c r="M99" s="124">
        <f>Tabel1[[#This Row],[stk 5 dage buffer ]]+Tabel1[[#This Row],[G&amp;V Klaksvik
Par 10 ]]</f>
        <v>53.75</v>
      </c>
      <c r="N99" s="91"/>
      <c r="O99" s="104">
        <f>+Tabel1[[#This Row],[stk 5 dage buffer ]]*Tabel1[[#This Row],[inkøbspris pr stk]]</f>
        <v>0</v>
      </c>
      <c r="P99" s="104"/>
      <c r="Q99" s="91"/>
      <c r="R99" s="91"/>
      <c r="S99" s="91"/>
      <c r="T99" s="92"/>
    </row>
    <row r="100" spans="2:20" ht="19.5" hidden="1" customHeight="1" x14ac:dyDescent="0.25">
      <c r="B100" s="90" t="s">
        <v>387</v>
      </c>
      <c r="C100" s="100" t="s">
        <v>465</v>
      </c>
      <c r="D100" s="91" t="s">
        <v>205</v>
      </c>
      <c r="E100" s="91" t="s">
        <v>110</v>
      </c>
      <c r="F100" s="217"/>
      <c r="G100" s="91"/>
      <c r="H100" s="91"/>
      <c r="I100" s="104">
        <v>490</v>
      </c>
      <c r="J100" s="104">
        <f>+Tabel1[[#This Row],[Stk i juli]]/$J$5</f>
        <v>24.5</v>
      </c>
      <c r="K100" s="104">
        <f>+Tabel1[[#This Row],[stk pr dag]]*$J$4</f>
        <v>122.5</v>
      </c>
      <c r="L100" s="124"/>
      <c r="M100" s="124">
        <f>Tabel1[[#This Row],[stk 5 dage buffer ]]+Tabel1[[#This Row],[G&amp;V Klaksvik
Par 10 ]]</f>
        <v>122.5</v>
      </c>
      <c r="N100" s="91"/>
      <c r="O100" s="104">
        <f>+Tabel1[[#This Row],[stk 5 dage buffer ]]*Tabel1[[#This Row],[inkøbspris pr stk]]</f>
        <v>0</v>
      </c>
      <c r="P100" s="104"/>
      <c r="Q100" s="91"/>
      <c r="R100" s="91"/>
      <c r="S100" s="91"/>
      <c r="T100" s="92"/>
    </row>
    <row r="101" spans="2:20" ht="19.5" hidden="1" customHeight="1" x14ac:dyDescent="0.25">
      <c r="B101" s="90" t="s">
        <v>388</v>
      </c>
      <c r="C101" s="100" t="s">
        <v>465</v>
      </c>
      <c r="D101" s="91" t="s">
        <v>205</v>
      </c>
      <c r="E101" s="91" t="s">
        <v>111</v>
      </c>
      <c r="F101" s="217"/>
      <c r="G101" s="91"/>
      <c r="H101" s="91" t="s">
        <v>307</v>
      </c>
      <c r="I101" s="104">
        <v>1833</v>
      </c>
      <c r="J101" s="104">
        <f>+Tabel1[[#This Row],[Stk i juli]]/$J$5</f>
        <v>91.65</v>
      </c>
      <c r="K101" s="104">
        <f>+Tabel1[[#This Row],[stk pr dag]]*$J$4</f>
        <v>458.25</v>
      </c>
      <c r="L101" s="124"/>
      <c r="M101" s="124">
        <f>Tabel1[[#This Row],[stk 5 dage buffer ]]+Tabel1[[#This Row],[G&amp;V Klaksvik
Par 10 ]]</f>
        <v>458.25</v>
      </c>
      <c r="N101" s="91"/>
      <c r="O101" s="104">
        <f>+Tabel1[[#This Row],[stk 5 dage buffer ]]*Tabel1[[#This Row],[inkøbspris pr stk]]</f>
        <v>0</v>
      </c>
      <c r="P101" s="104"/>
      <c r="Q101" s="91"/>
      <c r="R101" s="91"/>
      <c r="S101" s="91"/>
      <c r="T101" s="92"/>
    </row>
    <row r="102" spans="2:20" ht="19.5" hidden="1" customHeight="1" x14ac:dyDescent="0.25">
      <c r="B102" s="90" t="s">
        <v>389</v>
      </c>
      <c r="C102" s="100" t="s">
        <v>465</v>
      </c>
      <c r="D102" s="91" t="s">
        <v>205</v>
      </c>
      <c r="E102" s="91" t="s">
        <v>112</v>
      </c>
      <c r="F102" s="217"/>
      <c r="G102" s="91"/>
      <c r="H102" s="91"/>
      <c r="I102" s="104">
        <v>148</v>
      </c>
      <c r="J102" s="104">
        <f>+Tabel1[[#This Row],[Stk i juli]]/$J$5</f>
        <v>7.4</v>
      </c>
      <c r="K102" s="104">
        <f>+Tabel1[[#This Row],[stk pr dag]]*$J$4</f>
        <v>37</v>
      </c>
      <c r="L102" s="124"/>
      <c r="M102" s="124">
        <f>Tabel1[[#This Row],[stk 5 dage buffer ]]+Tabel1[[#This Row],[G&amp;V Klaksvik
Par 10 ]]</f>
        <v>37</v>
      </c>
      <c r="N102" s="91"/>
      <c r="O102" s="104">
        <f>+Tabel1[[#This Row],[stk 5 dage buffer ]]*Tabel1[[#This Row],[inkøbspris pr stk]]</f>
        <v>0</v>
      </c>
      <c r="P102" s="104"/>
      <c r="Q102" s="91"/>
      <c r="R102" s="91"/>
      <c r="S102" s="91"/>
      <c r="T102" s="92"/>
    </row>
    <row r="103" spans="2:20" ht="19.5" hidden="1" customHeight="1" x14ac:dyDescent="0.25">
      <c r="B103" s="90" t="s">
        <v>390</v>
      </c>
      <c r="C103" s="100" t="s">
        <v>465</v>
      </c>
      <c r="D103" s="91" t="s">
        <v>205</v>
      </c>
      <c r="E103" s="91" t="s">
        <v>113</v>
      </c>
      <c r="F103" s="217"/>
      <c r="G103" s="91"/>
      <c r="H103" s="91"/>
      <c r="I103" s="104">
        <v>62</v>
      </c>
      <c r="J103" s="104">
        <f>+Tabel1[[#This Row],[Stk i juli]]/$J$5</f>
        <v>3.1</v>
      </c>
      <c r="K103" s="104">
        <f>+Tabel1[[#This Row],[stk pr dag]]*$J$4</f>
        <v>15.5</v>
      </c>
      <c r="L103" s="124"/>
      <c r="M103" s="124">
        <f>Tabel1[[#This Row],[stk 5 dage buffer ]]+Tabel1[[#This Row],[G&amp;V Klaksvik
Par 10 ]]</f>
        <v>15.5</v>
      </c>
      <c r="N103" s="91"/>
      <c r="O103" s="104">
        <f>+Tabel1[[#This Row],[stk 5 dage buffer ]]*Tabel1[[#This Row],[inkøbspris pr stk]]</f>
        <v>0</v>
      </c>
      <c r="P103" s="104"/>
      <c r="Q103" s="91"/>
      <c r="R103" s="91"/>
      <c r="S103" s="91"/>
      <c r="T103" s="92"/>
    </row>
    <row r="104" spans="2:20" ht="19.5" hidden="1" customHeight="1" x14ac:dyDescent="0.25">
      <c r="B104" s="90" t="s">
        <v>391</v>
      </c>
      <c r="C104" s="100" t="s">
        <v>465</v>
      </c>
      <c r="D104" s="91" t="s">
        <v>205</v>
      </c>
      <c r="E104" s="91" t="s">
        <v>114</v>
      </c>
      <c r="F104" s="217"/>
      <c r="G104" s="91"/>
      <c r="H104" s="91"/>
      <c r="I104" s="104">
        <v>5</v>
      </c>
      <c r="J104" s="104">
        <f>+Tabel1[[#This Row],[Stk i juli]]/$J$5</f>
        <v>0.25</v>
      </c>
      <c r="K104" s="104">
        <f>+Tabel1[[#This Row],[stk pr dag]]*$J$4</f>
        <v>1.25</v>
      </c>
      <c r="L104" s="124"/>
      <c r="M104" s="124">
        <f>Tabel1[[#This Row],[stk 5 dage buffer ]]+Tabel1[[#This Row],[G&amp;V Klaksvik
Par 10 ]]</f>
        <v>1.25</v>
      </c>
      <c r="N104" s="91"/>
      <c r="O104" s="104">
        <f>+Tabel1[[#This Row],[stk 5 dage buffer ]]*Tabel1[[#This Row],[inkøbspris pr stk]]</f>
        <v>0</v>
      </c>
      <c r="P104" s="104"/>
      <c r="Q104" s="91"/>
      <c r="R104" s="91"/>
      <c r="S104" s="91"/>
      <c r="T104" s="92"/>
    </row>
    <row r="105" spans="2:20" ht="19.5" hidden="1" customHeight="1" x14ac:dyDescent="0.25">
      <c r="B105" s="90" t="s">
        <v>392</v>
      </c>
      <c r="C105" s="100" t="s">
        <v>465</v>
      </c>
      <c r="D105" s="91" t="s">
        <v>205</v>
      </c>
      <c r="E105" s="91" t="s">
        <v>115</v>
      </c>
      <c r="F105" s="217"/>
      <c r="G105" s="91"/>
      <c r="H105" s="91"/>
      <c r="I105" s="104">
        <v>316</v>
      </c>
      <c r="J105" s="104">
        <f>+Tabel1[[#This Row],[Stk i juli]]/$J$5</f>
        <v>15.8</v>
      </c>
      <c r="K105" s="104">
        <f>+Tabel1[[#This Row],[stk pr dag]]*$J$4</f>
        <v>79</v>
      </c>
      <c r="L105" s="124"/>
      <c r="M105" s="124">
        <f>Tabel1[[#This Row],[stk 5 dage buffer ]]+Tabel1[[#This Row],[G&amp;V Klaksvik
Par 10 ]]</f>
        <v>79</v>
      </c>
      <c r="N105" s="91"/>
      <c r="O105" s="104">
        <f>+Tabel1[[#This Row],[stk 5 dage buffer ]]*Tabel1[[#This Row],[inkøbspris pr stk]]</f>
        <v>0</v>
      </c>
      <c r="P105" s="104"/>
      <c r="Q105" s="91"/>
      <c r="R105" s="91"/>
      <c r="S105" s="91"/>
      <c r="T105" s="92"/>
    </row>
    <row r="106" spans="2:20" ht="19.5" hidden="1" customHeight="1" x14ac:dyDescent="0.25">
      <c r="B106" s="90" t="s">
        <v>393</v>
      </c>
      <c r="C106" s="100" t="s">
        <v>465</v>
      </c>
      <c r="D106" s="91" t="s">
        <v>205</v>
      </c>
      <c r="E106" s="91" t="s">
        <v>116</v>
      </c>
      <c r="F106" s="217"/>
      <c r="G106" s="91"/>
      <c r="H106" s="91"/>
      <c r="I106" s="104">
        <v>2501</v>
      </c>
      <c r="J106" s="104">
        <f>+Tabel1[[#This Row],[Stk i juli]]/$J$5</f>
        <v>125.05</v>
      </c>
      <c r="K106" s="104">
        <f>+Tabel1[[#This Row],[stk pr dag]]*$J$4</f>
        <v>625.25</v>
      </c>
      <c r="L106" s="124"/>
      <c r="M106" s="124">
        <f>Tabel1[[#This Row],[stk 5 dage buffer ]]+Tabel1[[#This Row],[G&amp;V Klaksvik
Par 10 ]]</f>
        <v>625.25</v>
      </c>
      <c r="N106" s="91"/>
      <c r="O106" s="104">
        <f>+Tabel1[[#This Row],[stk 5 dage buffer ]]*Tabel1[[#This Row],[inkøbspris pr stk]]</f>
        <v>0</v>
      </c>
      <c r="P106" s="104"/>
      <c r="Q106" s="91"/>
      <c r="R106" s="91"/>
      <c r="S106" s="91"/>
      <c r="T106" s="92"/>
    </row>
    <row r="107" spans="2:20" ht="19.5" hidden="1" customHeight="1" x14ac:dyDescent="0.25">
      <c r="B107" s="90" t="s">
        <v>394</v>
      </c>
      <c r="C107" s="100" t="s">
        <v>465</v>
      </c>
      <c r="D107" s="91" t="s">
        <v>205</v>
      </c>
      <c r="E107" s="91" t="s">
        <v>117</v>
      </c>
      <c r="F107" s="217"/>
      <c r="G107" s="91"/>
      <c r="H107" s="91"/>
      <c r="I107" s="104">
        <v>159</v>
      </c>
      <c r="J107" s="104">
        <f>+Tabel1[[#This Row],[Stk i juli]]/$J$5</f>
        <v>7.95</v>
      </c>
      <c r="K107" s="104">
        <f>+Tabel1[[#This Row],[stk pr dag]]*$J$4</f>
        <v>39.75</v>
      </c>
      <c r="L107" s="124"/>
      <c r="M107" s="124">
        <f>Tabel1[[#This Row],[stk 5 dage buffer ]]+Tabel1[[#This Row],[G&amp;V Klaksvik
Par 10 ]]</f>
        <v>39.75</v>
      </c>
      <c r="N107" s="91"/>
      <c r="O107" s="104">
        <f>+Tabel1[[#This Row],[stk 5 dage buffer ]]*Tabel1[[#This Row],[inkøbspris pr stk]]</f>
        <v>0</v>
      </c>
      <c r="P107" s="104"/>
      <c r="Q107" s="91"/>
      <c r="R107" s="91"/>
      <c r="S107" s="91"/>
      <c r="T107" s="92"/>
    </row>
    <row r="108" spans="2:20" ht="19.5" hidden="1" customHeight="1" x14ac:dyDescent="0.25">
      <c r="B108" s="90" t="s">
        <v>395</v>
      </c>
      <c r="C108" s="100" t="s">
        <v>465</v>
      </c>
      <c r="D108" s="91" t="s">
        <v>205</v>
      </c>
      <c r="E108" s="91" t="s">
        <v>118</v>
      </c>
      <c r="F108" s="217"/>
      <c r="G108" s="91"/>
      <c r="H108" s="91"/>
      <c r="I108" s="104">
        <v>104</v>
      </c>
      <c r="J108" s="104">
        <f>+Tabel1[[#This Row],[Stk i juli]]/$J$5</f>
        <v>5.2</v>
      </c>
      <c r="K108" s="104">
        <f>+Tabel1[[#This Row],[stk pr dag]]*$J$4</f>
        <v>26</v>
      </c>
      <c r="L108" s="124"/>
      <c r="M108" s="124">
        <f>Tabel1[[#This Row],[stk 5 dage buffer ]]+Tabel1[[#This Row],[G&amp;V Klaksvik
Par 10 ]]</f>
        <v>26</v>
      </c>
      <c r="N108" s="91"/>
      <c r="O108" s="104">
        <f>+Tabel1[[#This Row],[stk 5 dage buffer ]]*Tabel1[[#This Row],[inkøbspris pr stk]]</f>
        <v>0</v>
      </c>
      <c r="P108" s="104"/>
      <c r="Q108" s="91"/>
      <c r="R108" s="91"/>
      <c r="S108" s="91"/>
      <c r="T108" s="92"/>
    </row>
    <row r="109" spans="2:20" ht="19.5" hidden="1" customHeight="1" x14ac:dyDescent="0.25">
      <c r="B109" s="90" t="s">
        <v>396</v>
      </c>
      <c r="C109" s="100" t="s">
        <v>465</v>
      </c>
      <c r="D109" s="91" t="s">
        <v>205</v>
      </c>
      <c r="E109" s="91" t="s">
        <v>119</v>
      </c>
      <c r="F109" s="217"/>
      <c r="G109" s="91"/>
      <c r="H109" s="91"/>
      <c r="I109" s="104">
        <v>1371</v>
      </c>
      <c r="J109" s="104">
        <f>+Tabel1[[#This Row],[Stk i juli]]/$J$5</f>
        <v>68.55</v>
      </c>
      <c r="K109" s="104">
        <f>+Tabel1[[#This Row],[stk pr dag]]*$J$4</f>
        <v>342.75</v>
      </c>
      <c r="L109" s="124"/>
      <c r="M109" s="124">
        <f>Tabel1[[#This Row],[stk 5 dage buffer ]]+Tabel1[[#This Row],[G&amp;V Klaksvik
Par 10 ]]</f>
        <v>342.75</v>
      </c>
      <c r="N109" s="91"/>
      <c r="O109" s="104">
        <f>+Tabel1[[#This Row],[stk 5 dage buffer ]]*Tabel1[[#This Row],[inkøbspris pr stk]]</f>
        <v>0</v>
      </c>
      <c r="P109" s="104"/>
      <c r="Q109" s="91"/>
      <c r="R109" s="91"/>
      <c r="S109" s="91"/>
      <c r="T109" s="92"/>
    </row>
    <row r="110" spans="2:20" ht="19.5" hidden="1" customHeight="1" x14ac:dyDescent="0.25">
      <c r="B110" s="90" t="s">
        <v>397</v>
      </c>
      <c r="C110" s="100" t="s">
        <v>465</v>
      </c>
      <c r="D110" s="91" t="s">
        <v>205</v>
      </c>
      <c r="E110" s="91" t="s">
        <v>120</v>
      </c>
      <c r="F110" s="217"/>
      <c r="G110" s="91"/>
      <c r="H110" s="91"/>
      <c r="I110" s="104">
        <v>24</v>
      </c>
      <c r="J110" s="104">
        <f>+Tabel1[[#This Row],[Stk i juli]]/$J$5</f>
        <v>1.2</v>
      </c>
      <c r="K110" s="104">
        <f>+Tabel1[[#This Row],[stk pr dag]]*$J$4</f>
        <v>6</v>
      </c>
      <c r="L110" s="124"/>
      <c r="M110" s="124">
        <f>Tabel1[[#This Row],[stk 5 dage buffer ]]+Tabel1[[#This Row],[G&amp;V Klaksvik
Par 10 ]]</f>
        <v>6</v>
      </c>
      <c r="N110" s="91"/>
      <c r="O110" s="104">
        <f>+Tabel1[[#This Row],[stk 5 dage buffer ]]*Tabel1[[#This Row],[inkøbspris pr stk]]</f>
        <v>0</v>
      </c>
      <c r="P110" s="104"/>
      <c r="Q110" s="91"/>
      <c r="R110" s="91"/>
      <c r="S110" s="91"/>
      <c r="T110" s="92"/>
    </row>
    <row r="111" spans="2:20" ht="19.5" hidden="1" customHeight="1" x14ac:dyDescent="0.25">
      <c r="B111" s="90" t="s">
        <v>398</v>
      </c>
      <c r="C111" s="100" t="s">
        <v>465</v>
      </c>
      <c r="D111" s="91" t="s">
        <v>205</v>
      </c>
      <c r="E111" s="91" t="s">
        <v>121</v>
      </c>
      <c r="F111" s="217"/>
      <c r="G111" s="91"/>
      <c r="H111" s="91"/>
      <c r="I111" s="104">
        <v>464</v>
      </c>
      <c r="J111" s="104">
        <f>+Tabel1[[#This Row],[Stk i juli]]/$J$5</f>
        <v>23.2</v>
      </c>
      <c r="K111" s="104">
        <f>+Tabel1[[#This Row],[stk pr dag]]*$J$4</f>
        <v>116</v>
      </c>
      <c r="L111" s="124"/>
      <c r="M111" s="124">
        <f>Tabel1[[#This Row],[stk 5 dage buffer ]]+Tabel1[[#This Row],[G&amp;V Klaksvik
Par 10 ]]</f>
        <v>116</v>
      </c>
      <c r="N111" s="91"/>
      <c r="O111" s="104">
        <f>+Tabel1[[#This Row],[stk 5 dage buffer ]]*Tabel1[[#This Row],[inkøbspris pr stk]]</f>
        <v>0</v>
      </c>
      <c r="P111" s="104"/>
      <c r="Q111" s="91"/>
      <c r="R111" s="91"/>
      <c r="S111" s="91"/>
      <c r="T111" s="92"/>
    </row>
    <row r="112" spans="2:20" ht="19.5" hidden="1" customHeight="1" x14ac:dyDescent="0.25">
      <c r="B112" s="90" t="s">
        <v>399</v>
      </c>
      <c r="C112" s="90" t="s">
        <v>465</v>
      </c>
      <c r="D112" s="91" t="s">
        <v>205</v>
      </c>
      <c r="E112" s="91" t="s">
        <v>122</v>
      </c>
      <c r="F112" s="217"/>
      <c r="G112" s="91"/>
      <c r="H112" s="91"/>
      <c r="I112" s="104">
        <v>7</v>
      </c>
      <c r="J112" s="104">
        <f>+Tabel1[[#This Row],[Stk i juli]]/$J$5</f>
        <v>0.35</v>
      </c>
      <c r="K112" s="104">
        <f>+Tabel1[[#This Row],[stk pr dag]]*$J$4</f>
        <v>1.75</v>
      </c>
      <c r="L112" s="124"/>
      <c r="M112" s="124">
        <f>Tabel1[[#This Row],[stk 5 dage buffer ]]+Tabel1[[#This Row],[G&amp;V Klaksvik
Par 10 ]]</f>
        <v>1.75</v>
      </c>
      <c r="N112" s="91"/>
      <c r="O112" s="104">
        <f>+Tabel1[[#This Row],[stk 5 dage buffer ]]*Tabel1[[#This Row],[inkøbspris pr stk]]</f>
        <v>0</v>
      </c>
      <c r="P112" s="104"/>
      <c r="Q112" s="91"/>
      <c r="R112" s="91"/>
      <c r="S112" s="91"/>
      <c r="T112" s="92"/>
    </row>
    <row r="113" spans="2:20" ht="19.5" hidden="1" customHeight="1" x14ac:dyDescent="0.25">
      <c r="B113" s="90" t="s">
        <v>400</v>
      </c>
      <c r="C113" s="90" t="s">
        <v>465</v>
      </c>
      <c r="D113" s="91" t="s">
        <v>205</v>
      </c>
      <c r="E113" s="91" t="s">
        <v>123</v>
      </c>
      <c r="F113" s="217"/>
      <c r="G113" s="91"/>
      <c r="H113" s="91"/>
      <c r="I113" s="104">
        <v>11</v>
      </c>
      <c r="J113" s="104">
        <f>+Tabel1[[#This Row],[Stk i juli]]/$J$5</f>
        <v>0.55000000000000004</v>
      </c>
      <c r="K113" s="104">
        <f>+Tabel1[[#This Row],[stk pr dag]]*$J$4</f>
        <v>2.75</v>
      </c>
      <c r="L113" s="124"/>
      <c r="M113" s="124">
        <f>Tabel1[[#This Row],[stk 5 dage buffer ]]+Tabel1[[#This Row],[G&amp;V Klaksvik
Par 10 ]]</f>
        <v>2.75</v>
      </c>
      <c r="N113" s="91"/>
      <c r="O113" s="104">
        <f>+Tabel1[[#This Row],[stk 5 dage buffer ]]*Tabel1[[#This Row],[inkøbspris pr stk]]</f>
        <v>0</v>
      </c>
      <c r="P113" s="104"/>
      <c r="Q113" s="91"/>
      <c r="R113" s="91"/>
      <c r="S113" s="91"/>
      <c r="T113" s="92"/>
    </row>
    <row r="114" spans="2:20" ht="19.5" hidden="1" customHeight="1" x14ac:dyDescent="0.25">
      <c r="B114" s="90" t="s">
        <v>401</v>
      </c>
      <c r="C114" s="90" t="s">
        <v>465</v>
      </c>
      <c r="D114" s="91" t="s">
        <v>205</v>
      </c>
      <c r="E114" s="91" t="s">
        <v>126</v>
      </c>
      <c r="F114" s="217"/>
      <c r="G114" s="91"/>
      <c r="H114" s="91"/>
      <c r="I114" s="104">
        <v>4962</v>
      </c>
      <c r="J114" s="104">
        <f>+Tabel1[[#This Row],[Stk i juli]]/$J$5</f>
        <v>248.1</v>
      </c>
      <c r="K114" s="104">
        <f>+Tabel1[[#This Row],[stk pr dag]]*$J$4</f>
        <v>1240.5</v>
      </c>
      <c r="L114" s="124"/>
      <c r="M114" s="124">
        <f>Tabel1[[#This Row],[stk 5 dage buffer ]]+Tabel1[[#This Row],[G&amp;V Klaksvik
Par 10 ]]</f>
        <v>1240.5</v>
      </c>
      <c r="N114" s="91"/>
      <c r="O114" s="104">
        <f>+Tabel1[[#This Row],[stk 5 dage buffer ]]*Tabel1[[#This Row],[inkøbspris pr stk]]</f>
        <v>0</v>
      </c>
      <c r="P114" s="104"/>
      <c r="Q114" s="91"/>
      <c r="R114" s="91"/>
      <c r="S114" s="91"/>
      <c r="T114" s="92"/>
    </row>
    <row r="115" spans="2:20" ht="19.5" hidden="1" customHeight="1" x14ac:dyDescent="0.25">
      <c r="B115" s="90" t="s">
        <v>402</v>
      </c>
      <c r="C115" s="90" t="s">
        <v>465</v>
      </c>
      <c r="D115" s="91" t="s">
        <v>205</v>
      </c>
      <c r="E115" s="91" t="s">
        <v>127</v>
      </c>
      <c r="F115" s="217"/>
      <c r="G115" s="91"/>
      <c r="H115" s="91"/>
      <c r="I115" s="104">
        <v>611</v>
      </c>
      <c r="J115" s="104">
        <f>+Tabel1[[#This Row],[Stk i juli]]/$J$5</f>
        <v>30.55</v>
      </c>
      <c r="K115" s="104">
        <f>+Tabel1[[#This Row],[stk pr dag]]*$J$4</f>
        <v>152.75</v>
      </c>
      <c r="L115" s="124"/>
      <c r="M115" s="124">
        <f>Tabel1[[#This Row],[stk 5 dage buffer ]]+Tabel1[[#This Row],[G&amp;V Klaksvik
Par 10 ]]</f>
        <v>152.75</v>
      </c>
      <c r="N115" s="91"/>
      <c r="O115" s="104">
        <f>+Tabel1[[#This Row],[stk 5 dage buffer ]]*Tabel1[[#This Row],[inkøbspris pr stk]]</f>
        <v>0</v>
      </c>
      <c r="P115" s="104"/>
      <c r="Q115" s="91"/>
      <c r="R115" s="91"/>
      <c r="S115" s="91"/>
      <c r="T115" s="92"/>
    </row>
    <row r="116" spans="2:20" ht="19.5" hidden="1" customHeight="1" x14ac:dyDescent="0.25">
      <c r="B116" s="90" t="s">
        <v>403</v>
      </c>
      <c r="C116" s="90" t="s">
        <v>465</v>
      </c>
      <c r="D116" s="91" t="s">
        <v>205</v>
      </c>
      <c r="E116" s="91" t="s">
        <v>128</v>
      </c>
      <c r="F116" s="217"/>
      <c r="G116" s="91"/>
      <c r="H116" s="91"/>
      <c r="I116" s="104">
        <v>1473</v>
      </c>
      <c r="J116" s="104">
        <f>+Tabel1[[#This Row],[Stk i juli]]/$J$5</f>
        <v>73.650000000000006</v>
      </c>
      <c r="K116" s="104">
        <f>+Tabel1[[#This Row],[stk pr dag]]*$J$4</f>
        <v>368.25</v>
      </c>
      <c r="L116" s="124"/>
      <c r="M116" s="124">
        <f>Tabel1[[#This Row],[stk 5 dage buffer ]]+Tabel1[[#This Row],[G&amp;V Klaksvik
Par 10 ]]</f>
        <v>368.25</v>
      </c>
      <c r="N116" s="91"/>
      <c r="O116" s="104">
        <f>+Tabel1[[#This Row],[stk 5 dage buffer ]]*Tabel1[[#This Row],[inkøbspris pr stk]]</f>
        <v>0</v>
      </c>
      <c r="P116" s="104"/>
      <c r="Q116" s="91"/>
      <c r="R116" s="91"/>
      <c r="S116" s="91"/>
      <c r="T116" s="92"/>
    </row>
    <row r="117" spans="2:20" ht="19.5" hidden="1" customHeight="1" x14ac:dyDescent="0.25">
      <c r="B117" s="90" t="s">
        <v>404</v>
      </c>
      <c r="C117" s="90" t="s">
        <v>465</v>
      </c>
      <c r="D117" s="91" t="s">
        <v>205</v>
      </c>
      <c r="E117" s="91" t="s">
        <v>129</v>
      </c>
      <c r="F117" s="217"/>
      <c r="G117" s="91"/>
      <c r="H117" s="91"/>
      <c r="I117" s="104">
        <v>13</v>
      </c>
      <c r="J117" s="104">
        <f>+Tabel1[[#This Row],[Stk i juli]]/$J$5</f>
        <v>0.65</v>
      </c>
      <c r="K117" s="104">
        <f>+Tabel1[[#This Row],[stk pr dag]]*$J$4</f>
        <v>3.25</v>
      </c>
      <c r="L117" s="124"/>
      <c r="M117" s="124">
        <f>Tabel1[[#This Row],[stk 5 dage buffer ]]+Tabel1[[#This Row],[G&amp;V Klaksvik
Par 10 ]]</f>
        <v>3.25</v>
      </c>
      <c r="N117" s="91"/>
      <c r="O117" s="104">
        <f>+Tabel1[[#This Row],[stk 5 dage buffer ]]*Tabel1[[#This Row],[inkøbspris pr stk]]</f>
        <v>0</v>
      </c>
      <c r="P117" s="104"/>
      <c r="Q117" s="91"/>
      <c r="R117" s="91"/>
      <c r="S117" s="91"/>
      <c r="T117" s="92"/>
    </row>
    <row r="118" spans="2:20" ht="19.5" hidden="1" customHeight="1" x14ac:dyDescent="0.25">
      <c r="B118" s="90" t="s">
        <v>405</v>
      </c>
      <c r="C118" s="90" t="s">
        <v>465</v>
      </c>
      <c r="D118" s="91" t="s">
        <v>205</v>
      </c>
      <c r="E118" s="91" t="s">
        <v>130</v>
      </c>
      <c r="F118" s="217"/>
      <c r="G118" s="91"/>
      <c r="H118" s="91"/>
      <c r="I118" s="104">
        <v>1335</v>
      </c>
      <c r="J118" s="104">
        <f>+Tabel1[[#This Row],[Stk i juli]]/$J$5</f>
        <v>66.75</v>
      </c>
      <c r="K118" s="104">
        <f>+Tabel1[[#This Row],[stk pr dag]]*$J$4</f>
        <v>333.75</v>
      </c>
      <c r="L118" s="124"/>
      <c r="M118" s="124">
        <f>Tabel1[[#This Row],[stk 5 dage buffer ]]+Tabel1[[#This Row],[G&amp;V Klaksvik
Par 10 ]]</f>
        <v>333.75</v>
      </c>
      <c r="N118" s="91"/>
      <c r="O118" s="104">
        <f>+Tabel1[[#This Row],[stk 5 dage buffer ]]*Tabel1[[#This Row],[inkøbspris pr stk]]</f>
        <v>0</v>
      </c>
      <c r="P118" s="104"/>
      <c r="Q118" s="91"/>
      <c r="R118" s="91"/>
      <c r="S118" s="91"/>
      <c r="T118" s="92"/>
    </row>
    <row r="119" spans="2:20" ht="19.5" hidden="1" customHeight="1" x14ac:dyDescent="0.25">
      <c r="B119" s="90" t="s">
        <v>406</v>
      </c>
      <c r="C119" s="90" t="s">
        <v>465</v>
      </c>
      <c r="D119" s="91" t="s">
        <v>205</v>
      </c>
      <c r="E119" s="91" t="s">
        <v>131</v>
      </c>
      <c r="F119" s="217"/>
      <c r="G119" s="91"/>
      <c r="H119" s="91"/>
      <c r="I119" s="104">
        <v>17</v>
      </c>
      <c r="J119" s="104">
        <f>+Tabel1[[#This Row],[Stk i juli]]/$J$5</f>
        <v>0.85</v>
      </c>
      <c r="K119" s="104">
        <f>+Tabel1[[#This Row],[stk pr dag]]*$J$4</f>
        <v>4.25</v>
      </c>
      <c r="L119" s="124"/>
      <c r="M119" s="124">
        <f>Tabel1[[#This Row],[stk 5 dage buffer ]]+Tabel1[[#This Row],[G&amp;V Klaksvik
Par 10 ]]</f>
        <v>4.25</v>
      </c>
      <c r="N119" s="91"/>
      <c r="O119" s="104">
        <f>+Tabel1[[#This Row],[stk 5 dage buffer ]]*Tabel1[[#This Row],[inkøbspris pr stk]]</f>
        <v>0</v>
      </c>
      <c r="P119" s="104"/>
      <c r="Q119" s="91"/>
      <c r="R119" s="91"/>
      <c r="S119" s="91"/>
      <c r="T119" s="92"/>
    </row>
    <row r="120" spans="2:20" ht="19.5" hidden="1" customHeight="1" x14ac:dyDescent="0.25">
      <c r="B120" s="90" t="s">
        <v>403</v>
      </c>
      <c r="C120" s="90" t="s">
        <v>465</v>
      </c>
      <c r="D120" s="91" t="s">
        <v>205</v>
      </c>
      <c r="E120" s="91" t="s">
        <v>167</v>
      </c>
      <c r="F120" s="217"/>
      <c r="G120" s="91"/>
      <c r="H120" s="91"/>
      <c r="I120" s="104"/>
      <c r="J120" s="104">
        <f>+Tabel1[[#This Row],[Stk i juli]]/$J$5</f>
        <v>0</v>
      </c>
      <c r="K120" s="104">
        <f>+Tabel1[[#This Row],[stk pr dag]]*$J$4</f>
        <v>0</v>
      </c>
      <c r="L120" s="124"/>
      <c r="M120" s="124">
        <f>Tabel1[[#This Row],[stk 5 dage buffer ]]+Tabel1[[#This Row],[G&amp;V Klaksvik
Par 10 ]]</f>
        <v>0</v>
      </c>
      <c r="N120" s="91"/>
      <c r="O120" s="104">
        <f>+Tabel1[[#This Row],[stk 5 dage buffer ]]*Tabel1[[#This Row],[inkøbspris pr stk]]</f>
        <v>0</v>
      </c>
      <c r="P120" s="104"/>
      <c r="Q120" s="91"/>
      <c r="R120" s="91"/>
      <c r="S120" s="91"/>
      <c r="T120" s="92"/>
    </row>
    <row r="121" spans="2:20" ht="19.5" hidden="1" customHeight="1" x14ac:dyDescent="0.25">
      <c r="B121" s="90" t="s">
        <v>468</v>
      </c>
      <c r="C121" s="90" t="s">
        <v>465</v>
      </c>
      <c r="D121" s="91" t="s">
        <v>205</v>
      </c>
      <c r="E121" s="91" t="s">
        <v>132</v>
      </c>
      <c r="F121" s="217"/>
      <c r="G121" s="91"/>
      <c r="H121" s="91"/>
      <c r="I121" s="104">
        <v>191</v>
      </c>
      <c r="J121" s="104">
        <f>+Tabel1[[#This Row],[Stk i juli]]/$J$5</f>
        <v>9.5500000000000007</v>
      </c>
      <c r="K121" s="104">
        <f>+Tabel1[[#This Row],[stk pr dag]]*$J$4</f>
        <v>47.75</v>
      </c>
      <c r="L121" s="124"/>
      <c r="M121" s="124">
        <f>Tabel1[[#This Row],[stk 5 dage buffer ]]+Tabel1[[#This Row],[G&amp;V Klaksvik
Par 10 ]]</f>
        <v>47.75</v>
      </c>
      <c r="N121" s="91"/>
      <c r="O121" s="104">
        <f>+Tabel1[[#This Row],[stk 5 dage buffer ]]*Tabel1[[#This Row],[inkøbspris pr stk]]</f>
        <v>0</v>
      </c>
      <c r="P121" s="104"/>
      <c r="Q121" s="91"/>
      <c r="R121" s="91"/>
      <c r="S121" s="91"/>
      <c r="T121" s="92"/>
    </row>
    <row r="122" spans="2:20" ht="19.5" hidden="1" customHeight="1" x14ac:dyDescent="0.25">
      <c r="B122" s="90" t="s">
        <v>408</v>
      </c>
      <c r="C122" s="90" t="s">
        <v>465</v>
      </c>
      <c r="D122" s="91" t="s">
        <v>205</v>
      </c>
      <c r="E122" s="91" t="s">
        <v>133</v>
      </c>
      <c r="F122" s="217"/>
      <c r="G122" s="91"/>
      <c r="H122" s="91"/>
      <c r="I122" s="104">
        <v>241</v>
      </c>
      <c r="J122" s="104">
        <f>+Tabel1[[#This Row],[Stk i juli]]/$J$5</f>
        <v>12.05</v>
      </c>
      <c r="K122" s="104">
        <f>+Tabel1[[#This Row],[stk pr dag]]*$J$4</f>
        <v>60.25</v>
      </c>
      <c r="L122" s="124"/>
      <c r="M122" s="124">
        <f>Tabel1[[#This Row],[stk 5 dage buffer ]]+Tabel1[[#This Row],[G&amp;V Klaksvik
Par 10 ]]</f>
        <v>60.25</v>
      </c>
      <c r="N122" s="91"/>
      <c r="O122" s="104">
        <f>+Tabel1[[#This Row],[stk 5 dage buffer ]]*Tabel1[[#This Row],[inkøbspris pr stk]]</f>
        <v>0</v>
      </c>
      <c r="P122" s="104"/>
      <c r="Q122" s="91"/>
      <c r="R122" s="91"/>
      <c r="S122" s="91"/>
      <c r="T122" s="92"/>
    </row>
    <row r="123" spans="2:20" ht="19.5" hidden="1" customHeight="1" x14ac:dyDescent="0.25">
      <c r="B123" s="90" t="s">
        <v>409</v>
      </c>
      <c r="C123" s="90" t="s">
        <v>465</v>
      </c>
      <c r="D123" s="91" t="s">
        <v>205</v>
      </c>
      <c r="E123" s="91" t="s">
        <v>134</v>
      </c>
      <c r="F123" s="217"/>
      <c r="G123" s="91"/>
      <c r="H123" s="91"/>
      <c r="I123" s="104">
        <v>1099</v>
      </c>
      <c r="J123" s="104">
        <f>+Tabel1[[#This Row],[Stk i juli]]/$J$5</f>
        <v>54.95</v>
      </c>
      <c r="K123" s="104">
        <f>+Tabel1[[#This Row],[stk pr dag]]*$J$4</f>
        <v>274.75</v>
      </c>
      <c r="L123" s="124"/>
      <c r="M123" s="124">
        <f>Tabel1[[#This Row],[stk 5 dage buffer ]]+Tabel1[[#This Row],[G&amp;V Klaksvik
Par 10 ]]</f>
        <v>274.75</v>
      </c>
      <c r="N123" s="91"/>
      <c r="O123" s="104">
        <f>+Tabel1[[#This Row],[stk 5 dage buffer ]]*Tabel1[[#This Row],[inkøbspris pr stk]]</f>
        <v>0</v>
      </c>
      <c r="P123" s="104"/>
      <c r="Q123" s="91"/>
      <c r="R123" s="91"/>
      <c r="S123" s="91"/>
      <c r="T123" s="92"/>
    </row>
    <row r="124" spans="2:20" ht="19.5" hidden="1" customHeight="1" x14ac:dyDescent="0.25">
      <c r="B124" s="90" t="s">
        <v>410</v>
      </c>
      <c r="C124" s="90" t="s">
        <v>465</v>
      </c>
      <c r="D124" s="91" t="s">
        <v>205</v>
      </c>
      <c r="E124" s="91" t="s">
        <v>135</v>
      </c>
      <c r="F124" s="217"/>
      <c r="G124" s="91"/>
      <c r="H124" s="91"/>
      <c r="I124" s="104">
        <v>1</v>
      </c>
      <c r="J124" s="104">
        <f>+Tabel1[[#This Row],[Stk i juli]]/$J$5</f>
        <v>0.05</v>
      </c>
      <c r="K124" s="104">
        <f>+Tabel1[[#This Row],[stk pr dag]]*$J$4</f>
        <v>0.25</v>
      </c>
      <c r="L124" s="124"/>
      <c r="M124" s="124">
        <f>Tabel1[[#This Row],[stk 5 dage buffer ]]+Tabel1[[#This Row],[G&amp;V Klaksvik
Par 10 ]]</f>
        <v>0.25</v>
      </c>
      <c r="N124" s="91"/>
      <c r="O124" s="104">
        <f>+Tabel1[[#This Row],[stk 5 dage buffer ]]*Tabel1[[#This Row],[inkøbspris pr stk]]</f>
        <v>0</v>
      </c>
      <c r="P124" s="104"/>
      <c r="Q124" s="91"/>
      <c r="R124" s="91"/>
      <c r="S124" s="91"/>
      <c r="T124" s="92"/>
    </row>
    <row r="125" spans="2:20" ht="19.5" hidden="1" customHeight="1" x14ac:dyDescent="0.25">
      <c r="B125" s="90" t="s">
        <v>411</v>
      </c>
      <c r="C125" s="90" t="s">
        <v>465</v>
      </c>
      <c r="D125" s="91" t="s">
        <v>205</v>
      </c>
      <c r="E125" s="91" t="s">
        <v>136</v>
      </c>
      <c r="F125" s="217"/>
      <c r="G125" s="91"/>
      <c r="H125" s="91"/>
      <c r="I125" s="104">
        <v>442</v>
      </c>
      <c r="J125" s="104">
        <f>+Tabel1[[#This Row],[Stk i juli]]/$J$5</f>
        <v>22.1</v>
      </c>
      <c r="K125" s="104">
        <f>+Tabel1[[#This Row],[stk pr dag]]*$J$4</f>
        <v>110.5</v>
      </c>
      <c r="L125" s="124"/>
      <c r="M125" s="124">
        <f>Tabel1[[#This Row],[stk 5 dage buffer ]]+Tabel1[[#This Row],[G&amp;V Klaksvik
Par 10 ]]</f>
        <v>110.5</v>
      </c>
      <c r="N125" s="91"/>
      <c r="O125" s="104">
        <f>+Tabel1[[#This Row],[stk 5 dage buffer ]]*Tabel1[[#This Row],[inkøbspris pr stk]]</f>
        <v>0</v>
      </c>
      <c r="P125" s="104"/>
      <c r="Q125" s="91"/>
      <c r="R125" s="91"/>
      <c r="S125" s="91"/>
      <c r="T125" s="92"/>
    </row>
    <row r="126" spans="2:20" ht="19.5" hidden="1" customHeight="1" x14ac:dyDescent="0.25">
      <c r="B126" s="90" t="s">
        <v>412</v>
      </c>
      <c r="C126" s="90" t="s">
        <v>465</v>
      </c>
      <c r="D126" s="91" t="s">
        <v>205</v>
      </c>
      <c r="E126" s="91" t="s">
        <v>137</v>
      </c>
      <c r="F126" s="217"/>
      <c r="G126" s="91"/>
      <c r="H126" s="91"/>
      <c r="I126" s="104">
        <v>238</v>
      </c>
      <c r="J126" s="104">
        <f>+Tabel1[[#This Row],[Stk i juli]]/$J$5</f>
        <v>11.9</v>
      </c>
      <c r="K126" s="104">
        <f>+Tabel1[[#This Row],[stk pr dag]]*$J$4</f>
        <v>59.5</v>
      </c>
      <c r="L126" s="124"/>
      <c r="M126" s="124">
        <f>Tabel1[[#This Row],[stk 5 dage buffer ]]+Tabel1[[#This Row],[G&amp;V Klaksvik
Par 10 ]]</f>
        <v>59.5</v>
      </c>
      <c r="N126" s="91"/>
      <c r="O126" s="104">
        <f>+Tabel1[[#This Row],[stk 5 dage buffer ]]*Tabel1[[#This Row],[inkøbspris pr stk]]</f>
        <v>0</v>
      </c>
      <c r="P126" s="104"/>
      <c r="Q126" s="91"/>
      <c r="R126" s="91"/>
      <c r="S126" s="91"/>
      <c r="T126" s="92"/>
    </row>
    <row r="127" spans="2:20" ht="19.5" hidden="1" customHeight="1" x14ac:dyDescent="0.25">
      <c r="B127" s="90" t="s">
        <v>413</v>
      </c>
      <c r="C127" s="90" t="s">
        <v>465</v>
      </c>
      <c r="D127" s="91" t="s">
        <v>205</v>
      </c>
      <c r="E127" s="91" t="s">
        <v>138</v>
      </c>
      <c r="F127" s="217"/>
      <c r="G127" s="91"/>
      <c r="H127" s="91"/>
      <c r="I127" s="104">
        <v>909</v>
      </c>
      <c r="J127" s="104">
        <f>+Tabel1[[#This Row],[Stk i juli]]/$J$5</f>
        <v>45.45</v>
      </c>
      <c r="K127" s="104">
        <f>+Tabel1[[#This Row],[stk pr dag]]*$J$4</f>
        <v>227.25</v>
      </c>
      <c r="L127" s="124"/>
      <c r="M127" s="124">
        <f>Tabel1[[#This Row],[stk 5 dage buffer ]]+Tabel1[[#This Row],[G&amp;V Klaksvik
Par 10 ]]</f>
        <v>227.25</v>
      </c>
      <c r="N127" s="91"/>
      <c r="O127" s="104">
        <f>+Tabel1[[#This Row],[stk 5 dage buffer ]]*Tabel1[[#This Row],[inkøbspris pr stk]]</f>
        <v>0</v>
      </c>
      <c r="P127" s="104"/>
      <c r="Q127" s="91"/>
      <c r="R127" s="91"/>
      <c r="S127" s="91"/>
      <c r="T127" s="92"/>
    </row>
    <row r="128" spans="2:20" ht="19.5" hidden="1" customHeight="1" x14ac:dyDescent="0.25">
      <c r="B128" s="90" t="s">
        <v>414</v>
      </c>
      <c r="C128" s="90" t="s">
        <v>465</v>
      </c>
      <c r="D128" s="91" t="s">
        <v>205</v>
      </c>
      <c r="E128" s="91" t="s">
        <v>139</v>
      </c>
      <c r="F128" s="217"/>
      <c r="G128" s="91"/>
      <c r="H128" s="91"/>
      <c r="I128" s="104">
        <v>76</v>
      </c>
      <c r="J128" s="104">
        <f>+Tabel1[[#This Row],[Stk i juli]]/$J$5</f>
        <v>3.8</v>
      </c>
      <c r="K128" s="104">
        <f>+Tabel1[[#This Row],[stk pr dag]]*$J$4</f>
        <v>19</v>
      </c>
      <c r="L128" s="124"/>
      <c r="M128" s="124">
        <f>Tabel1[[#This Row],[stk 5 dage buffer ]]+Tabel1[[#This Row],[G&amp;V Klaksvik
Par 10 ]]</f>
        <v>19</v>
      </c>
      <c r="N128" s="91"/>
      <c r="O128" s="104">
        <f>+Tabel1[[#This Row],[stk 5 dage buffer ]]*Tabel1[[#This Row],[inkøbspris pr stk]]</f>
        <v>0</v>
      </c>
      <c r="P128" s="104"/>
      <c r="Q128" s="91"/>
      <c r="R128" s="91"/>
      <c r="S128" s="91"/>
      <c r="T128" s="92"/>
    </row>
    <row r="129" spans="2:20" ht="19.5" hidden="1" customHeight="1" x14ac:dyDescent="0.25">
      <c r="B129" s="90" t="s">
        <v>415</v>
      </c>
      <c r="C129" s="90" t="s">
        <v>465</v>
      </c>
      <c r="D129" s="91" t="s">
        <v>205</v>
      </c>
      <c r="E129" s="91" t="s">
        <v>140</v>
      </c>
      <c r="F129" s="217"/>
      <c r="G129" s="91"/>
      <c r="H129" s="91"/>
      <c r="I129" s="104">
        <v>237</v>
      </c>
      <c r="J129" s="104">
        <f>+Tabel1[[#This Row],[Stk i juli]]/$J$5</f>
        <v>11.85</v>
      </c>
      <c r="K129" s="104">
        <f>+Tabel1[[#This Row],[stk pr dag]]*$J$4</f>
        <v>59.25</v>
      </c>
      <c r="L129" s="124"/>
      <c r="M129" s="124">
        <f>Tabel1[[#This Row],[stk 5 dage buffer ]]+Tabel1[[#This Row],[G&amp;V Klaksvik
Par 10 ]]</f>
        <v>59.25</v>
      </c>
      <c r="N129" s="91"/>
      <c r="O129" s="104">
        <f>+Tabel1[[#This Row],[stk 5 dage buffer ]]*Tabel1[[#This Row],[inkøbspris pr stk]]</f>
        <v>0</v>
      </c>
      <c r="P129" s="104"/>
      <c r="Q129" s="91"/>
      <c r="R129" s="91"/>
      <c r="S129" s="91"/>
      <c r="T129" s="92"/>
    </row>
    <row r="130" spans="2:20" ht="19.5" hidden="1" customHeight="1" x14ac:dyDescent="0.25">
      <c r="B130" s="90" t="s">
        <v>416</v>
      </c>
      <c r="C130" s="90" t="s">
        <v>465</v>
      </c>
      <c r="D130" s="91" t="s">
        <v>205</v>
      </c>
      <c r="E130" s="91" t="s">
        <v>141</v>
      </c>
      <c r="F130" s="217"/>
      <c r="G130" s="91"/>
      <c r="H130" s="91"/>
      <c r="I130" s="104">
        <v>268</v>
      </c>
      <c r="J130" s="104">
        <f>+Tabel1[[#This Row],[Stk i juli]]/$J$5</f>
        <v>13.4</v>
      </c>
      <c r="K130" s="104">
        <f>+Tabel1[[#This Row],[stk pr dag]]*$J$4</f>
        <v>67</v>
      </c>
      <c r="L130" s="124"/>
      <c r="M130" s="124">
        <f>Tabel1[[#This Row],[stk 5 dage buffer ]]+Tabel1[[#This Row],[G&amp;V Klaksvik
Par 10 ]]</f>
        <v>67</v>
      </c>
      <c r="N130" s="91"/>
      <c r="O130" s="104">
        <f>+Tabel1[[#This Row],[stk 5 dage buffer ]]*Tabel1[[#This Row],[inkøbspris pr stk]]</f>
        <v>0</v>
      </c>
      <c r="P130" s="104"/>
      <c r="Q130" s="91"/>
      <c r="R130" s="91"/>
      <c r="S130" s="91"/>
      <c r="T130" s="92"/>
    </row>
    <row r="131" spans="2:20" ht="19.5" hidden="1" customHeight="1" x14ac:dyDescent="0.25">
      <c r="B131" s="90" t="s">
        <v>417</v>
      </c>
      <c r="C131" s="90" t="s">
        <v>465</v>
      </c>
      <c r="D131" s="91" t="s">
        <v>205</v>
      </c>
      <c r="E131" s="91" t="s">
        <v>142</v>
      </c>
      <c r="F131" s="217"/>
      <c r="G131" s="91"/>
      <c r="H131" s="91"/>
      <c r="I131" s="104">
        <v>6</v>
      </c>
      <c r="J131" s="104">
        <f>+Tabel1[[#This Row],[Stk i juli]]/$J$5</f>
        <v>0.3</v>
      </c>
      <c r="K131" s="104">
        <f>+Tabel1[[#This Row],[stk pr dag]]*$J$4</f>
        <v>1.5</v>
      </c>
      <c r="L131" s="124"/>
      <c r="M131" s="124">
        <f>Tabel1[[#This Row],[stk 5 dage buffer ]]+Tabel1[[#This Row],[G&amp;V Klaksvik
Par 10 ]]</f>
        <v>1.5</v>
      </c>
      <c r="N131" s="91"/>
      <c r="O131" s="104">
        <f>+Tabel1[[#This Row],[stk 5 dage buffer ]]*Tabel1[[#This Row],[inkøbspris pr stk]]</f>
        <v>0</v>
      </c>
      <c r="P131" s="104"/>
      <c r="Q131" s="91"/>
      <c r="R131" s="91"/>
      <c r="S131" s="91"/>
      <c r="T131" s="92"/>
    </row>
    <row r="132" spans="2:20" ht="19.5" hidden="1" customHeight="1" x14ac:dyDescent="0.25">
      <c r="B132" s="90" t="s">
        <v>418</v>
      </c>
      <c r="C132" s="90" t="s">
        <v>465</v>
      </c>
      <c r="D132" s="91" t="s">
        <v>205</v>
      </c>
      <c r="E132" s="91" t="s">
        <v>143</v>
      </c>
      <c r="F132" s="217"/>
      <c r="G132" s="91"/>
      <c r="H132" s="91"/>
      <c r="I132" s="104">
        <v>36</v>
      </c>
      <c r="J132" s="104">
        <f>+Tabel1[[#This Row],[Stk i juli]]/$J$5</f>
        <v>1.8</v>
      </c>
      <c r="K132" s="104">
        <f>+Tabel1[[#This Row],[stk pr dag]]*$J$4</f>
        <v>9</v>
      </c>
      <c r="L132" s="124"/>
      <c r="M132" s="124">
        <f>Tabel1[[#This Row],[stk 5 dage buffer ]]+Tabel1[[#This Row],[G&amp;V Klaksvik
Par 10 ]]</f>
        <v>9</v>
      </c>
      <c r="N132" s="91"/>
      <c r="O132" s="104">
        <f>+Tabel1[[#This Row],[stk 5 dage buffer ]]*Tabel1[[#This Row],[inkøbspris pr stk]]</f>
        <v>0</v>
      </c>
      <c r="P132" s="104"/>
      <c r="Q132" s="91"/>
      <c r="R132" s="91"/>
      <c r="S132" s="91"/>
      <c r="T132" s="92"/>
    </row>
    <row r="133" spans="2:20" ht="19.5" hidden="1" customHeight="1" x14ac:dyDescent="0.25">
      <c r="B133" s="90" t="s">
        <v>419</v>
      </c>
      <c r="C133" s="90" t="s">
        <v>465</v>
      </c>
      <c r="D133" s="91" t="s">
        <v>205</v>
      </c>
      <c r="E133" s="91" t="s">
        <v>144</v>
      </c>
      <c r="F133" s="217"/>
      <c r="G133" s="91"/>
      <c r="H133" s="91"/>
      <c r="I133" s="104">
        <v>15</v>
      </c>
      <c r="J133" s="104">
        <f>+Tabel1[[#This Row],[Stk i juli]]/$J$5</f>
        <v>0.75</v>
      </c>
      <c r="K133" s="104">
        <f>+Tabel1[[#This Row],[stk pr dag]]*$J$4</f>
        <v>3.75</v>
      </c>
      <c r="L133" s="124"/>
      <c r="M133" s="124">
        <f>Tabel1[[#This Row],[stk 5 dage buffer ]]+Tabel1[[#This Row],[G&amp;V Klaksvik
Par 10 ]]</f>
        <v>3.75</v>
      </c>
      <c r="N133" s="91"/>
      <c r="O133" s="104">
        <f>+Tabel1[[#This Row],[stk 5 dage buffer ]]*Tabel1[[#This Row],[inkøbspris pr stk]]</f>
        <v>0</v>
      </c>
      <c r="P133" s="104"/>
      <c r="Q133" s="91"/>
      <c r="R133" s="91"/>
      <c r="S133" s="91"/>
      <c r="T133" s="92"/>
    </row>
    <row r="134" spans="2:20" ht="19.5" hidden="1" customHeight="1" x14ac:dyDescent="0.25">
      <c r="B134" s="90" t="s">
        <v>420</v>
      </c>
      <c r="C134" s="90" t="s">
        <v>465</v>
      </c>
      <c r="D134" s="91" t="s">
        <v>205</v>
      </c>
      <c r="E134" s="91" t="s">
        <v>145</v>
      </c>
      <c r="F134" s="217"/>
      <c r="G134" s="91"/>
      <c r="H134" s="91"/>
      <c r="I134" s="104">
        <v>7</v>
      </c>
      <c r="J134" s="104">
        <f>+Tabel1[[#This Row],[Stk i juli]]/$J$5</f>
        <v>0.35</v>
      </c>
      <c r="K134" s="104">
        <f>+Tabel1[[#This Row],[stk pr dag]]*$J$4</f>
        <v>1.75</v>
      </c>
      <c r="L134" s="124"/>
      <c r="M134" s="124">
        <f>Tabel1[[#This Row],[stk 5 dage buffer ]]+Tabel1[[#This Row],[G&amp;V Klaksvik
Par 10 ]]</f>
        <v>1.75</v>
      </c>
      <c r="N134" s="91"/>
      <c r="O134" s="104">
        <f>+Tabel1[[#This Row],[stk 5 dage buffer ]]*Tabel1[[#This Row],[inkøbspris pr stk]]</f>
        <v>0</v>
      </c>
      <c r="P134" s="104"/>
      <c r="Q134" s="91"/>
      <c r="R134" s="91"/>
      <c r="S134" s="91"/>
      <c r="T134" s="92"/>
    </row>
    <row r="135" spans="2:20" ht="19.5" hidden="1" customHeight="1" x14ac:dyDescent="0.25">
      <c r="B135" s="90" t="s">
        <v>421</v>
      </c>
      <c r="C135" s="90" t="s">
        <v>465</v>
      </c>
      <c r="D135" s="91" t="s">
        <v>205</v>
      </c>
      <c r="E135" s="91" t="s">
        <v>146</v>
      </c>
      <c r="F135" s="217"/>
      <c r="G135" s="91"/>
      <c r="H135" s="91"/>
      <c r="I135" s="104">
        <v>109</v>
      </c>
      <c r="J135" s="104">
        <f>+Tabel1[[#This Row],[Stk i juli]]/$J$5</f>
        <v>5.45</v>
      </c>
      <c r="K135" s="104">
        <f>+Tabel1[[#This Row],[stk pr dag]]*$J$4</f>
        <v>27.25</v>
      </c>
      <c r="L135" s="124"/>
      <c r="M135" s="124">
        <f>Tabel1[[#This Row],[stk 5 dage buffer ]]+Tabel1[[#This Row],[G&amp;V Klaksvik
Par 10 ]]</f>
        <v>27.25</v>
      </c>
      <c r="N135" s="91"/>
      <c r="O135" s="104">
        <f>+Tabel1[[#This Row],[stk 5 dage buffer ]]*Tabel1[[#This Row],[inkøbspris pr stk]]</f>
        <v>0</v>
      </c>
      <c r="P135" s="104"/>
      <c r="Q135" s="91"/>
      <c r="R135" s="91"/>
      <c r="S135" s="91"/>
      <c r="T135" s="92"/>
    </row>
    <row r="136" spans="2:20" ht="19.5" hidden="1" customHeight="1" x14ac:dyDescent="0.25">
      <c r="B136" s="90" t="s">
        <v>422</v>
      </c>
      <c r="C136" s="90" t="s">
        <v>465</v>
      </c>
      <c r="D136" s="91" t="s">
        <v>205</v>
      </c>
      <c r="E136" s="91" t="s">
        <v>183</v>
      </c>
      <c r="F136" s="217"/>
      <c r="G136" s="91"/>
      <c r="H136" s="91"/>
      <c r="I136" s="104"/>
      <c r="J136" s="104">
        <f>+Tabel1[[#This Row],[Stk i juli]]/$J$5</f>
        <v>0</v>
      </c>
      <c r="K136" s="104">
        <f>+Tabel1[[#This Row],[stk pr dag]]*$J$4</f>
        <v>0</v>
      </c>
      <c r="L136" s="124"/>
      <c r="M136" s="124">
        <f>Tabel1[[#This Row],[stk 5 dage buffer ]]+Tabel1[[#This Row],[G&amp;V Klaksvik
Par 10 ]]</f>
        <v>0</v>
      </c>
      <c r="N136" s="91"/>
      <c r="O136" s="104">
        <f>+Tabel1[[#This Row],[stk 5 dage buffer ]]*Tabel1[[#This Row],[inkøbspris pr stk]]</f>
        <v>0</v>
      </c>
      <c r="P136" s="104"/>
      <c r="Q136" s="91"/>
      <c r="R136" s="91"/>
      <c r="S136" s="91"/>
      <c r="T136" s="92"/>
    </row>
    <row r="137" spans="2:20" ht="19.5" hidden="1" customHeight="1" x14ac:dyDescent="0.25">
      <c r="B137" s="90" t="s">
        <v>423</v>
      </c>
      <c r="C137" s="90" t="s">
        <v>465</v>
      </c>
      <c r="D137" s="91" t="s">
        <v>205</v>
      </c>
      <c r="E137" s="91" t="s">
        <v>147</v>
      </c>
      <c r="F137" s="217"/>
      <c r="G137" s="91"/>
      <c r="H137" s="91"/>
      <c r="I137" s="104">
        <v>47</v>
      </c>
      <c r="J137" s="104">
        <f>+Tabel1[[#This Row],[Stk i juli]]/$J$5</f>
        <v>2.35</v>
      </c>
      <c r="K137" s="104">
        <f>+Tabel1[[#This Row],[stk pr dag]]*$J$4</f>
        <v>11.75</v>
      </c>
      <c r="L137" s="124"/>
      <c r="M137" s="124">
        <f>Tabel1[[#This Row],[stk 5 dage buffer ]]+Tabel1[[#This Row],[G&amp;V Klaksvik
Par 10 ]]</f>
        <v>11.75</v>
      </c>
      <c r="N137" s="91"/>
      <c r="O137" s="104">
        <f>+Tabel1[[#This Row],[stk 5 dage buffer ]]*Tabel1[[#This Row],[inkøbspris pr stk]]</f>
        <v>0</v>
      </c>
      <c r="P137" s="104"/>
      <c r="Q137" s="91"/>
      <c r="R137" s="91"/>
      <c r="S137" s="91"/>
      <c r="T137" s="92"/>
    </row>
    <row r="138" spans="2:20" ht="19.5" hidden="1" customHeight="1" x14ac:dyDescent="0.25">
      <c r="B138" s="90" t="s">
        <v>424</v>
      </c>
      <c r="C138" s="90" t="s">
        <v>465</v>
      </c>
      <c r="D138" s="91" t="s">
        <v>205</v>
      </c>
      <c r="E138" s="91" t="s">
        <v>148</v>
      </c>
      <c r="F138" s="217"/>
      <c r="G138" s="91"/>
      <c r="H138" s="91"/>
      <c r="I138" s="104">
        <v>234</v>
      </c>
      <c r="J138" s="104">
        <f>+Tabel1[[#This Row],[Stk i juli]]/$J$5</f>
        <v>11.7</v>
      </c>
      <c r="K138" s="104">
        <f>+Tabel1[[#This Row],[stk pr dag]]*$J$4</f>
        <v>58.5</v>
      </c>
      <c r="L138" s="124"/>
      <c r="M138" s="124">
        <f>Tabel1[[#This Row],[stk 5 dage buffer ]]+Tabel1[[#This Row],[G&amp;V Klaksvik
Par 10 ]]</f>
        <v>58.5</v>
      </c>
      <c r="N138" s="91"/>
      <c r="O138" s="104">
        <f>+Tabel1[[#This Row],[stk 5 dage buffer ]]*Tabel1[[#This Row],[inkøbspris pr stk]]</f>
        <v>0</v>
      </c>
      <c r="P138" s="104"/>
      <c r="Q138" s="91"/>
      <c r="R138" s="91"/>
      <c r="S138" s="91"/>
      <c r="T138" s="92"/>
    </row>
    <row r="139" spans="2:20" ht="19.5" hidden="1" customHeight="1" x14ac:dyDescent="0.25">
      <c r="B139" s="90" t="s">
        <v>425</v>
      </c>
      <c r="C139" s="90" t="s">
        <v>465</v>
      </c>
      <c r="D139" s="91" t="s">
        <v>205</v>
      </c>
      <c r="E139" s="91" t="s">
        <v>149</v>
      </c>
      <c r="F139" s="217"/>
      <c r="G139" s="91"/>
      <c r="H139" s="91"/>
      <c r="I139" s="104">
        <v>200</v>
      </c>
      <c r="J139" s="104">
        <f>+Tabel1[[#This Row],[Stk i juli]]/$J$5</f>
        <v>10</v>
      </c>
      <c r="K139" s="104">
        <f>+Tabel1[[#This Row],[stk pr dag]]*$J$4</f>
        <v>50</v>
      </c>
      <c r="L139" s="124"/>
      <c r="M139" s="124">
        <f>Tabel1[[#This Row],[stk 5 dage buffer ]]+Tabel1[[#This Row],[G&amp;V Klaksvik
Par 10 ]]</f>
        <v>50</v>
      </c>
      <c r="N139" s="91"/>
      <c r="O139" s="104">
        <f>+Tabel1[[#This Row],[stk 5 dage buffer ]]*Tabel1[[#This Row],[inkøbspris pr stk]]</f>
        <v>0</v>
      </c>
      <c r="P139" s="104"/>
      <c r="Q139" s="91"/>
      <c r="R139" s="91"/>
      <c r="S139" s="91"/>
      <c r="T139" s="92"/>
    </row>
    <row r="140" spans="2:20" ht="19.5" hidden="1" customHeight="1" x14ac:dyDescent="0.25">
      <c r="B140" s="90" t="s">
        <v>426</v>
      </c>
      <c r="C140" s="90" t="s">
        <v>465</v>
      </c>
      <c r="D140" s="91" t="s">
        <v>205</v>
      </c>
      <c r="E140" s="91" t="s">
        <v>150</v>
      </c>
      <c r="F140" s="217"/>
      <c r="G140" s="91"/>
      <c r="H140" s="91"/>
      <c r="I140" s="104">
        <v>549</v>
      </c>
      <c r="J140" s="104">
        <f>+Tabel1[[#This Row],[Stk i juli]]/$J$5</f>
        <v>27.45</v>
      </c>
      <c r="K140" s="104">
        <f>+Tabel1[[#This Row],[stk pr dag]]*$J$4</f>
        <v>137.25</v>
      </c>
      <c r="L140" s="124"/>
      <c r="M140" s="124">
        <f>Tabel1[[#This Row],[stk 5 dage buffer ]]+Tabel1[[#This Row],[G&amp;V Klaksvik
Par 10 ]]</f>
        <v>137.25</v>
      </c>
      <c r="N140" s="91"/>
      <c r="O140" s="104">
        <f>+Tabel1[[#This Row],[stk 5 dage buffer ]]*Tabel1[[#This Row],[inkøbspris pr stk]]</f>
        <v>0</v>
      </c>
      <c r="P140" s="104"/>
      <c r="Q140" s="91"/>
      <c r="R140" s="91"/>
      <c r="S140" s="91"/>
      <c r="T140" s="92"/>
    </row>
    <row r="141" spans="2:20" ht="19.5" hidden="1" customHeight="1" x14ac:dyDescent="0.25">
      <c r="B141" s="90" t="s">
        <v>427</v>
      </c>
      <c r="C141" s="90" t="s">
        <v>465</v>
      </c>
      <c r="D141" s="91" t="s">
        <v>205</v>
      </c>
      <c r="E141" s="91" t="s">
        <v>151</v>
      </c>
      <c r="F141" s="217"/>
      <c r="G141" s="91"/>
      <c r="H141" s="91"/>
      <c r="I141" s="104">
        <v>1102</v>
      </c>
      <c r="J141" s="104">
        <f>+Tabel1[[#This Row],[Stk i juli]]/$J$5</f>
        <v>55.1</v>
      </c>
      <c r="K141" s="104">
        <f>+Tabel1[[#This Row],[stk pr dag]]*$J$4</f>
        <v>275.5</v>
      </c>
      <c r="L141" s="124"/>
      <c r="M141" s="124">
        <f>Tabel1[[#This Row],[stk 5 dage buffer ]]+Tabel1[[#This Row],[G&amp;V Klaksvik
Par 10 ]]</f>
        <v>275.5</v>
      </c>
      <c r="N141" s="91"/>
      <c r="O141" s="104">
        <f>+Tabel1[[#This Row],[stk 5 dage buffer ]]*Tabel1[[#This Row],[inkøbspris pr stk]]</f>
        <v>0</v>
      </c>
      <c r="P141" s="104"/>
      <c r="Q141" s="91"/>
      <c r="R141" s="91"/>
      <c r="S141" s="91"/>
      <c r="T141" s="92"/>
    </row>
    <row r="142" spans="2:20" ht="19.5" hidden="1" customHeight="1" x14ac:dyDescent="0.25">
      <c r="B142" s="90" t="s">
        <v>409</v>
      </c>
      <c r="C142" s="90" t="s">
        <v>465</v>
      </c>
      <c r="D142" s="91" t="s">
        <v>205</v>
      </c>
      <c r="E142" s="91" t="s">
        <v>189</v>
      </c>
      <c r="F142" s="217"/>
      <c r="G142" s="91"/>
      <c r="H142" s="91"/>
      <c r="I142" s="104"/>
      <c r="J142" s="104">
        <f>+Tabel1[[#This Row],[Stk i juli]]/$J$5</f>
        <v>0</v>
      </c>
      <c r="K142" s="104">
        <f>+Tabel1[[#This Row],[stk pr dag]]*$J$4</f>
        <v>0</v>
      </c>
      <c r="L142" s="124"/>
      <c r="M142" s="124">
        <f>Tabel1[[#This Row],[stk 5 dage buffer ]]+Tabel1[[#This Row],[G&amp;V Klaksvik
Par 10 ]]</f>
        <v>0</v>
      </c>
      <c r="N142" s="91"/>
      <c r="O142" s="104">
        <f>+Tabel1[[#This Row],[stk 5 dage buffer ]]*Tabel1[[#This Row],[inkøbspris pr stk]]</f>
        <v>0</v>
      </c>
      <c r="P142" s="104"/>
      <c r="Q142" s="91"/>
      <c r="R142" s="91"/>
      <c r="S142" s="91"/>
      <c r="T142" s="92"/>
    </row>
    <row r="143" spans="2:20" ht="19.5" hidden="1" customHeight="1" x14ac:dyDescent="0.25">
      <c r="B143" s="90" t="s">
        <v>428</v>
      </c>
      <c r="C143" s="90" t="s">
        <v>465</v>
      </c>
      <c r="D143" s="91" t="s">
        <v>205</v>
      </c>
      <c r="E143" s="91" t="s">
        <v>152</v>
      </c>
      <c r="F143" s="217"/>
      <c r="G143" s="91"/>
      <c r="H143" s="91"/>
      <c r="I143" s="104">
        <v>226</v>
      </c>
      <c r="J143" s="104">
        <f>+Tabel1[[#This Row],[Stk i juli]]/$J$5</f>
        <v>11.3</v>
      </c>
      <c r="K143" s="104">
        <f>+Tabel1[[#This Row],[stk pr dag]]*$J$4</f>
        <v>56.5</v>
      </c>
      <c r="L143" s="124"/>
      <c r="M143" s="124">
        <f>Tabel1[[#This Row],[stk 5 dage buffer ]]+Tabel1[[#This Row],[G&amp;V Klaksvik
Par 10 ]]</f>
        <v>56.5</v>
      </c>
      <c r="N143" s="91"/>
      <c r="O143" s="104">
        <f>+Tabel1[[#This Row],[stk 5 dage buffer ]]*Tabel1[[#This Row],[inkøbspris pr stk]]</f>
        <v>0</v>
      </c>
      <c r="P143" s="104"/>
      <c r="Q143" s="91"/>
      <c r="R143" s="91"/>
      <c r="S143" s="91"/>
      <c r="T143" s="92"/>
    </row>
    <row r="144" spans="2:20" ht="19.5" hidden="1" customHeight="1" x14ac:dyDescent="0.25">
      <c r="B144" s="90" t="s">
        <v>429</v>
      </c>
      <c r="C144" s="90" t="s">
        <v>465</v>
      </c>
      <c r="D144" s="91" t="s">
        <v>205</v>
      </c>
      <c r="E144" s="91" t="s">
        <v>153</v>
      </c>
      <c r="F144" s="217"/>
      <c r="G144" s="91"/>
      <c r="H144" s="91"/>
      <c r="I144" s="104">
        <v>50</v>
      </c>
      <c r="J144" s="104">
        <f>+Tabel1[[#This Row],[Stk i juli]]/$J$5</f>
        <v>2.5</v>
      </c>
      <c r="K144" s="104">
        <f>+Tabel1[[#This Row],[stk pr dag]]*$J$4</f>
        <v>12.5</v>
      </c>
      <c r="L144" s="124"/>
      <c r="M144" s="124">
        <f>Tabel1[[#This Row],[stk 5 dage buffer ]]+Tabel1[[#This Row],[G&amp;V Klaksvik
Par 10 ]]</f>
        <v>12.5</v>
      </c>
      <c r="N144" s="91"/>
      <c r="O144" s="104">
        <f>+Tabel1[[#This Row],[stk 5 dage buffer ]]*Tabel1[[#This Row],[inkøbspris pr stk]]</f>
        <v>0</v>
      </c>
      <c r="P144" s="104"/>
      <c r="Q144" s="91"/>
      <c r="R144" s="91"/>
      <c r="S144" s="91"/>
      <c r="T144" s="92"/>
    </row>
    <row r="145" spans="2:20" ht="19.5" hidden="1" customHeight="1" x14ac:dyDescent="0.25">
      <c r="B145" s="90" t="s">
        <v>430</v>
      </c>
      <c r="C145" s="90" t="s">
        <v>465</v>
      </c>
      <c r="D145" s="91" t="s">
        <v>205</v>
      </c>
      <c r="E145" s="91" t="s">
        <v>154</v>
      </c>
      <c r="F145" s="217"/>
      <c r="G145" s="91"/>
      <c r="H145" s="91"/>
      <c r="I145" s="104">
        <v>759</v>
      </c>
      <c r="J145" s="104">
        <f>+Tabel1[[#This Row],[Stk i juli]]/$J$5</f>
        <v>37.950000000000003</v>
      </c>
      <c r="K145" s="104">
        <f>+Tabel1[[#This Row],[stk pr dag]]*$J$4</f>
        <v>189.75</v>
      </c>
      <c r="L145" s="124"/>
      <c r="M145" s="124">
        <f>Tabel1[[#This Row],[stk 5 dage buffer ]]+Tabel1[[#This Row],[G&amp;V Klaksvik
Par 10 ]]</f>
        <v>189.75</v>
      </c>
      <c r="N145" s="91"/>
      <c r="O145" s="104">
        <f>+Tabel1[[#This Row],[stk 5 dage buffer ]]*Tabel1[[#This Row],[inkøbspris pr stk]]</f>
        <v>0</v>
      </c>
      <c r="P145" s="104"/>
      <c r="Q145" s="91"/>
      <c r="R145" s="91"/>
      <c r="S145" s="91"/>
      <c r="T145" s="92"/>
    </row>
    <row r="146" spans="2:20" ht="19.5" hidden="1" customHeight="1" x14ac:dyDescent="0.25">
      <c r="B146" s="90" t="s">
        <v>415</v>
      </c>
      <c r="C146" s="90" t="s">
        <v>465</v>
      </c>
      <c r="D146" s="91" t="s">
        <v>205</v>
      </c>
      <c r="E146" s="91" t="s">
        <v>155</v>
      </c>
      <c r="F146" s="217"/>
      <c r="G146" s="91"/>
      <c r="H146" s="91"/>
      <c r="I146" s="104">
        <v>6011</v>
      </c>
      <c r="J146" s="104">
        <f>+Tabel1[[#This Row],[Stk i juli]]/$J$5</f>
        <v>300.55</v>
      </c>
      <c r="K146" s="104">
        <f>+Tabel1[[#This Row],[stk pr dag]]*$J$4</f>
        <v>1502.75</v>
      </c>
      <c r="L146" s="124"/>
      <c r="M146" s="124">
        <f>Tabel1[[#This Row],[stk 5 dage buffer ]]+Tabel1[[#This Row],[G&amp;V Klaksvik
Par 10 ]]</f>
        <v>1502.75</v>
      </c>
      <c r="N146" s="91"/>
      <c r="O146" s="104">
        <f>+Tabel1[[#This Row],[stk 5 dage buffer ]]*Tabel1[[#This Row],[inkøbspris pr stk]]</f>
        <v>0</v>
      </c>
      <c r="P146" s="104"/>
      <c r="Q146" s="91"/>
      <c r="R146" s="91"/>
      <c r="S146" s="91"/>
      <c r="T146" s="92"/>
    </row>
    <row r="147" spans="2:20" ht="19.5" hidden="1" customHeight="1" x14ac:dyDescent="0.25">
      <c r="B147" s="90" t="s">
        <v>431</v>
      </c>
      <c r="C147" s="90" t="s">
        <v>465</v>
      </c>
      <c r="D147" s="91" t="s">
        <v>205</v>
      </c>
      <c r="E147" s="91" t="s">
        <v>156</v>
      </c>
      <c r="F147" s="217"/>
      <c r="G147" s="91"/>
      <c r="H147" s="91"/>
      <c r="I147" s="104">
        <v>1204</v>
      </c>
      <c r="J147" s="104">
        <f>+Tabel1[[#This Row],[Stk i juli]]/$J$5</f>
        <v>60.2</v>
      </c>
      <c r="K147" s="104">
        <f>+Tabel1[[#This Row],[stk pr dag]]*$J$4</f>
        <v>301</v>
      </c>
      <c r="L147" s="124"/>
      <c r="M147" s="124">
        <f>Tabel1[[#This Row],[stk 5 dage buffer ]]+Tabel1[[#This Row],[G&amp;V Klaksvik
Par 10 ]]</f>
        <v>301</v>
      </c>
      <c r="N147" s="91"/>
      <c r="O147" s="104">
        <f>+Tabel1[[#This Row],[stk 5 dage buffer ]]*Tabel1[[#This Row],[inkøbspris pr stk]]</f>
        <v>0</v>
      </c>
      <c r="P147" s="104"/>
      <c r="Q147" s="91"/>
      <c r="R147" s="91"/>
      <c r="S147" s="91"/>
      <c r="T147" s="92"/>
    </row>
    <row r="148" spans="2:20" ht="19.5" hidden="1" customHeight="1" x14ac:dyDescent="0.25">
      <c r="B148" s="90" t="s">
        <v>432</v>
      </c>
      <c r="C148" s="90" t="s">
        <v>465</v>
      </c>
      <c r="D148" s="91" t="s">
        <v>205</v>
      </c>
      <c r="E148" s="91" t="s">
        <v>157</v>
      </c>
      <c r="F148" s="217"/>
      <c r="G148" s="91"/>
      <c r="H148" s="91"/>
      <c r="I148" s="104">
        <v>371</v>
      </c>
      <c r="J148" s="104">
        <f>+Tabel1[[#This Row],[Stk i juli]]/$J$5</f>
        <v>18.55</v>
      </c>
      <c r="K148" s="104">
        <f>+Tabel1[[#This Row],[stk pr dag]]*$J$4</f>
        <v>92.75</v>
      </c>
      <c r="L148" s="124"/>
      <c r="M148" s="124">
        <f>Tabel1[[#This Row],[stk 5 dage buffer ]]+Tabel1[[#This Row],[G&amp;V Klaksvik
Par 10 ]]</f>
        <v>92.75</v>
      </c>
      <c r="N148" s="91"/>
      <c r="O148" s="104">
        <f>+Tabel1[[#This Row],[stk 5 dage buffer ]]*Tabel1[[#This Row],[inkøbspris pr stk]]</f>
        <v>0</v>
      </c>
      <c r="P148" s="104"/>
      <c r="Q148" s="91"/>
      <c r="R148" s="91"/>
      <c r="S148" s="91"/>
      <c r="T148" s="92"/>
    </row>
    <row r="149" spans="2:20" ht="19.5" hidden="1" customHeight="1" x14ac:dyDescent="0.25">
      <c r="B149" s="90" t="s">
        <v>433</v>
      </c>
      <c r="C149" s="90" t="s">
        <v>465</v>
      </c>
      <c r="D149" s="91" t="s">
        <v>205</v>
      </c>
      <c r="E149" s="91" t="s">
        <v>158</v>
      </c>
      <c r="F149" s="217"/>
      <c r="G149" s="91"/>
      <c r="H149" s="91"/>
      <c r="I149" s="104">
        <v>1032</v>
      </c>
      <c r="J149" s="104">
        <f>+Tabel1[[#This Row],[Stk i juli]]/$J$5</f>
        <v>51.6</v>
      </c>
      <c r="K149" s="104">
        <f>+Tabel1[[#This Row],[stk pr dag]]*$J$4</f>
        <v>258</v>
      </c>
      <c r="L149" s="124"/>
      <c r="M149" s="124">
        <f>Tabel1[[#This Row],[stk 5 dage buffer ]]+Tabel1[[#This Row],[G&amp;V Klaksvik
Par 10 ]]</f>
        <v>258</v>
      </c>
      <c r="N149" s="91"/>
      <c r="O149" s="104">
        <f>+Tabel1[[#This Row],[stk 5 dage buffer ]]*Tabel1[[#This Row],[inkøbspris pr stk]]</f>
        <v>0</v>
      </c>
      <c r="P149" s="104"/>
      <c r="Q149" s="91"/>
      <c r="R149" s="91"/>
      <c r="S149" s="91"/>
      <c r="T149" s="92"/>
    </row>
    <row r="150" spans="2:20" ht="19.5" hidden="1" customHeight="1" x14ac:dyDescent="0.25">
      <c r="B150" s="90" t="s">
        <v>403</v>
      </c>
      <c r="C150" s="90" t="s">
        <v>465</v>
      </c>
      <c r="D150" s="91" t="s">
        <v>205</v>
      </c>
      <c r="E150" s="91" t="s">
        <v>159</v>
      </c>
      <c r="F150" s="217"/>
      <c r="G150" s="91"/>
      <c r="H150" s="91"/>
      <c r="I150" s="104">
        <v>8</v>
      </c>
      <c r="J150" s="104">
        <f>+Tabel1[[#This Row],[Stk i juli]]/$J$5</f>
        <v>0.4</v>
      </c>
      <c r="K150" s="104">
        <f>+Tabel1[[#This Row],[stk pr dag]]*$J$4</f>
        <v>2</v>
      </c>
      <c r="L150" s="124"/>
      <c r="M150" s="124">
        <f>Tabel1[[#This Row],[stk 5 dage buffer ]]+Tabel1[[#This Row],[G&amp;V Klaksvik
Par 10 ]]</f>
        <v>2</v>
      </c>
      <c r="N150" s="91"/>
      <c r="O150" s="104">
        <f>+Tabel1[[#This Row],[stk 5 dage buffer ]]*Tabel1[[#This Row],[inkøbspris pr stk]]</f>
        <v>0</v>
      </c>
      <c r="P150" s="104"/>
      <c r="Q150" s="91"/>
      <c r="R150" s="91"/>
      <c r="S150" s="91"/>
      <c r="T150" s="92"/>
    </row>
    <row r="151" spans="2:20" ht="19.5" hidden="1" customHeight="1" x14ac:dyDescent="0.25">
      <c r="B151" s="90" t="s">
        <v>434</v>
      </c>
      <c r="C151" s="90" t="s">
        <v>465</v>
      </c>
      <c r="D151" s="91" t="s">
        <v>205</v>
      </c>
      <c r="E151" s="91" t="s">
        <v>160</v>
      </c>
      <c r="F151" s="217"/>
      <c r="G151" s="91"/>
      <c r="H151" s="91"/>
      <c r="I151" s="104">
        <v>5382</v>
      </c>
      <c r="J151" s="104">
        <f>+Tabel1[[#This Row],[Stk i juli]]/$J$5</f>
        <v>269.10000000000002</v>
      </c>
      <c r="K151" s="104">
        <f>+Tabel1[[#This Row],[stk pr dag]]*$J$4</f>
        <v>1345.5</v>
      </c>
      <c r="L151" s="124"/>
      <c r="M151" s="124">
        <f>Tabel1[[#This Row],[stk 5 dage buffer ]]+Tabel1[[#This Row],[G&amp;V Klaksvik
Par 10 ]]</f>
        <v>1345.5</v>
      </c>
      <c r="N151" s="91"/>
      <c r="O151" s="104">
        <f>+Tabel1[[#This Row],[stk 5 dage buffer ]]*Tabel1[[#This Row],[inkøbspris pr stk]]</f>
        <v>0</v>
      </c>
      <c r="P151" s="104"/>
      <c r="Q151" s="91"/>
      <c r="R151" s="91"/>
      <c r="S151" s="91"/>
      <c r="T151" s="92"/>
    </row>
    <row r="152" spans="2:20" ht="19.5" hidden="1" customHeight="1" x14ac:dyDescent="0.25">
      <c r="B152" s="99" t="s">
        <v>342</v>
      </c>
      <c r="C152" s="99"/>
      <c r="D152" s="91" t="s">
        <v>199</v>
      </c>
      <c r="E152" s="91" t="s">
        <v>70</v>
      </c>
      <c r="F152" s="217"/>
      <c r="G152" s="91"/>
      <c r="H152" s="91"/>
      <c r="I152" s="104"/>
      <c r="J152" s="104">
        <f>+Tabel1[[#This Row],[Stk i juli]]/$J$5</f>
        <v>0</v>
      </c>
      <c r="K152" s="104">
        <f>+Tabel1[[#This Row],[stk pr dag]]*$J$4</f>
        <v>0</v>
      </c>
      <c r="L152" s="124"/>
      <c r="M152" s="124">
        <f>Tabel1[[#This Row],[stk 5 dage buffer ]]+Tabel1[[#This Row],[G&amp;V Klaksvik
Par 10 ]]</f>
        <v>0</v>
      </c>
      <c r="N152" s="91"/>
      <c r="O152" s="104">
        <f>+Tabel1[[#This Row],[stk 5 dage buffer ]]*Tabel1[[#This Row],[inkøbspris pr stk]]</f>
        <v>0</v>
      </c>
      <c r="P152" s="104"/>
      <c r="Q152" s="91"/>
      <c r="R152" s="91"/>
      <c r="S152" s="91"/>
      <c r="T152" s="92"/>
    </row>
    <row r="153" spans="2:20" ht="19.5" hidden="1" customHeight="1" x14ac:dyDescent="0.25">
      <c r="B153" s="90" t="s">
        <v>469</v>
      </c>
      <c r="C153" s="100" t="s">
        <v>465</v>
      </c>
      <c r="D153" s="91" t="s">
        <v>205</v>
      </c>
      <c r="E153" s="91" t="s">
        <v>161</v>
      </c>
      <c r="F153" s="217"/>
      <c r="G153" s="91"/>
      <c r="H153" s="91"/>
      <c r="I153" s="104">
        <v>733</v>
      </c>
      <c r="J153" s="104">
        <f>+Tabel1[[#This Row],[Stk i juli]]/$J$5</f>
        <v>36.65</v>
      </c>
      <c r="K153" s="104">
        <f>+Tabel1[[#This Row],[stk pr dag]]*$J$4</f>
        <v>183.25</v>
      </c>
      <c r="L153" s="124"/>
      <c r="M153" s="124">
        <f>Tabel1[[#This Row],[stk 5 dage buffer ]]+Tabel1[[#This Row],[G&amp;V Klaksvik
Par 10 ]]</f>
        <v>183.25</v>
      </c>
      <c r="N153" s="91"/>
      <c r="O153" s="104">
        <f>+Tabel1[[#This Row],[stk 5 dage buffer ]]*Tabel1[[#This Row],[inkøbspris pr stk]]</f>
        <v>0</v>
      </c>
      <c r="P153" s="104"/>
      <c r="Q153" s="91"/>
      <c r="R153" s="91"/>
      <c r="S153" s="91"/>
      <c r="T153" s="92"/>
    </row>
    <row r="154" spans="2:20" ht="19.5" hidden="1" customHeight="1" x14ac:dyDescent="0.25">
      <c r="B154" s="90" t="s">
        <v>470</v>
      </c>
      <c r="C154" s="100" t="s">
        <v>465</v>
      </c>
      <c r="D154" s="91" t="s">
        <v>205</v>
      </c>
      <c r="E154" s="91" t="s">
        <v>162</v>
      </c>
      <c r="F154" s="217"/>
      <c r="G154" s="91"/>
      <c r="H154" s="91"/>
      <c r="I154" s="104">
        <v>1300</v>
      </c>
      <c r="J154" s="104">
        <f>+Tabel1[[#This Row],[Stk i juli]]/$J$5</f>
        <v>65</v>
      </c>
      <c r="K154" s="104">
        <f>+Tabel1[[#This Row],[stk pr dag]]*$J$4</f>
        <v>325</v>
      </c>
      <c r="L154" s="124"/>
      <c r="M154" s="124">
        <f>Tabel1[[#This Row],[stk 5 dage buffer ]]+Tabel1[[#This Row],[G&amp;V Klaksvik
Par 10 ]]</f>
        <v>325</v>
      </c>
      <c r="N154" s="91"/>
      <c r="O154" s="104">
        <f>+Tabel1[[#This Row],[stk 5 dage buffer ]]*Tabel1[[#This Row],[inkøbspris pr stk]]</f>
        <v>0</v>
      </c>
      <c r="P154" s="104"/>
      <c r="Q154" s="91"/>
      <c r="R154" s="91"/>
      <c r="S154" s="91"/>
      <c r="T154" s="92"/>
    </row>
    <row r="155" spans="2:20" ht="19.5" hidden="1" customHeight="1" x14ac:dyDescent="0.25">
      <c r="B155" s="90" t="s">
        <v>437</v>
      </c>
      <c r="C155" s="100" t="s">
        <v>465</v>
      </c>
      <c r="D155" s="91" t="s">
        <v>205</v>
      </c>
      <c r="E155" s="91" t="s">
        <v>163</v>
      </c>
      <c r="F155" s="217"/>
      <c r="G155" s="91"/>
      <c r="H155" s="91"/>
      <c r="I155" s="104">
        <v>551</v>
      </c>
      <c r="J155" s="104">
        <f>+Tabel1[[#This Row],[Stk i juli]]/$J$5</f>
        <v>27.55</v>
      </c>
      <c r="K155" s="104">
        <f>+Tabel1[[#This Row],[stk pr dag]]*$J$4</f>
        <v>137.75</v>
      </c>
      <c r="L155" s="124"/>
      <c r="M155" s="124">
        <f>Tabel1[[#This Row],[stk 5 dage buffer ]]+Tabel1[[#This Row],[G&amp;V Klaksvik
Par 10 ]]</f>
        <v>137.75</v>
      </c>
      <c r="N155" s="91"/>
      <c r="O155" s="104">
        <f>+Tabel1[[#This Row],[stk 5 dage buffer ]]*Tabel1[[#This Row],[inkøbspris pr stk]]</f>
        <v>0</v>
      </c>
      <c r="P155" s="104"/>
      <c r="Q155" s="91"/>
      <c r="R155" s="91"/>
      <c r="S155" s="91"/>
      <c r="T155" s="92"/>
    </row>
    <row r="156" spans="2:20" ht="19.5" hidden="1" customHeight="1" x14ac:dyDescent="0.25">
      <c r="B156" s="90" t="s">
        <v>472</v>
      </c>
      <c r="C156" s="100" t="s">
        <v>465</v>
      </c>
      <c r="D156" s="91" t="s">
        <v>205</v>
      </c>
      <c r="E156" s="91" t="s">
        <v>164</v>
      </c>
      <c r="F156" s="217"/>
      <c r="G156" s="91"/>
      <c r="H156" s="91"/>
      <c r="I156" s="104">
        <v>67</v>
      </c>
      <c r="J156" s="104">
        <f>+Tabel1[[#This Row],[Stk i juli]]/$J$5</f>
        <v>3.35</v>
      </c>
      <c r="K156" s="104">
        <f>+Tabel1[[#This Row],[stk pr dag]]*$J$4</f>
        <v>16.75</v>
      </c>
      <c r="L156" s="124"/>
      <c r="M156" s="124">
        <f>Tabel1[[#This Row],[stk 5 dage buffer ]]+Tabel1[[#This Row],[G&amp;V Klaksvik
Par 10 ]]</f>
        <v>16.75</v>
      </c>
      <c r="N156" s="91"/>
      <c r="O156" s="104">
        <f>+Tabel1[[#This Row],[stk 5 dage buffer ]]*Tabel1[[#This Row],[inkøbspris pr stk]]</f>
        <v>0</v>
      </c>
      <c r="P156" s="104"/>
      <c r="Q156" s="91"/>
      <c r="R156" s="91"/>
      <c r="S156" s="91"/>
      <c r="T156" s="92"/>
    </row>
    <row r="157" spans="2:20" ht="19.5" hidden="1" customHeight="1" x14ac:dyDescent="0.25">
      <c r="B157" s="90" t="s">
        <v>431</v>
      </c>
      <c r="C157" s="100" t="s">
        <v>465</v>
      </c>
      <c r="D157" s="91" t="s">
        <v>205</v>
      </c>
      <c r="E157" s="91" t="s">
        <v>165</v>
      </c>
      <c r="F157" s="217"/>
      <c r="G157" s="91"/>
      <c r="H157" s="91"/>
      <c r="I157" s="104">
        <v>153</v>
      </c>
      <c r="J157" s="104">
        <f>+Tabel1[[#This Row],[Stk i juli]]/$J$5</f>
        <v>7.65</v>
      </c>
      <c r="K157" s="104">
        <f>+Tabel1[[#This Row],[stk pr dag]]*$J$4</f>
        <v>38.25</v>
      </c>
      <c r="L157" s="124"/>
      <c r="M157" s="124">
        <f>Tabel1[[#This Row],[stk 5 dage buffer ]]+Tabel1[[#This Row],[G&amp;V Klaksvik
Par 10 ]]</f>
        <v>38.25</v>
      </c>
      <c r="N157" s="91"/>
      <c r="O157" s="104">
        <f>+Tabel1[[#This Row],[stk 5 dage buffer ]]*Tabel1[[#This Row],[inkøbspris pr stk]]</f>
        <v>0</v>
      </c>
      <c r="P157" s="104"/>
      <c r="Q157" s="91"/>
      <c r="R157" s="91"/>
      <c r="S157" s="91"/>
      <c r="T157" s="92"/>
    </row>
    <row r="158" spans="2:20" ht="19.5" hidden="1" customHeight="1" x14ac:dyDescent="0.25">
      <c r="B158" s="90" t="s">
        <v>439</v>
      </c>
      <c r="C158" s="100" t="s">
        <v>465</v>
      </c>
      <c r="D158" s="91" t="s">
        <v>205</v>
      </c>
      <c r="E158" s="91" t="s">
        <v>166</v>
      </c>
      <c r="F158" s="217"/>
      <c r="G158" s="91"/>
      <c r="H158" s="91"/>
      <c r="I158" s="104">
        <v>27</v>
      </c>
      <c r="J158" s="104">
        <f>+Tabel1[[#This Row],[Stk i juli]]/$J$5</f>
        <v>1.35</v>
      </c>
      <c r="K158" s="104">
        <f>+Tabel1[[#This Row],[stk pr dag]]*$J$4</f>
        <v>6.75</v>
      </c>
      <c r="L158" s="124"/>
      <c r="M158" s="124">
        <f>Tabel1[[#This Row],[stk 5 dage buffer ]]+Tabel1[[#This Row],[G&amp;V Klaksvik
Par 10 ]]</f>
        <v>6.75</v>
      </c>
      <c r="N158" s="91"/>
      <c r="O158" s="104">
        <f>+Tabel1[[#This Row],[stk 5 dage buffer ]]*Tabel1[[#This Row],[inkøbspris pr stk]]</f>
        <v>0</v>
      </c>
      <c r="P158" s="104"/>
      <c r="Q158" s="91"/>
      <c r="R158" s="91"/>
      <c r="S158" s="91"/>
      <c r="T158" s="92"/>
    </row>
    <row r="159" spans="2:20" ht="19.5" hidden="1" customHeight="1" x14ac:dyDescent="0.25">
      <c r="B159" s="90" t="s">
        <v>440</v>
      </c>
      <c r="C159" s="100" t="s">
        <v>465</v>
      </c>
      <c r="D159" s="91" t="s">
        <v>205</v>
      </c>
      <c r="E159" s="91" t="s">
        <v>168</v>
      </c>
      <c r="F159" s="217"/>
      <c r="G159" s="91"/>
      <c r="H159" s="91"/>
      <c r="I159" s="104">
        <v>626</v>
      </c>
      <c r="J159" s="104">
        <f>+Tabel1[[#This Row],[Stk i juli]]/$J$5</f>
        <v>31.3</v>
      </c>
      <c r="K159" s="104">
        <f>+Tabel1[[#This Row],[stk pr dag]]*$J$4</f>
        <v>156.5</v>
      </c>
      <c r="L159" s="124"/>
      <c r="M159" s="124">
        <f>Tabel1[[#This Row],[stk 5 dage buffer ]]+Tabel1[[#This Row],[G&amp;V Klaksvik
Par 10 ]]</f>
        <v>156.5</v>
      </c>
      <c r="N159" s="91"/>
      <c r="O159" s="104">
        <f>+Tabel1[[#This Row],[stk 5 dage buffer ]]*Tabel1[[#This Row],[inkøbspris pr stk]]</f>
        <v>0</v>
      </c>
      <c r="P159" s="104"/>
      <c r="Q159" s="91"/>
      <c r="R159" s="91"/>
      <c r="S159" s="91"/>
      <c r="T159" s="92"/>
    </row>
    <row r="160" spans="2:20" ht="19.5" hidden="1" customHeight="1" x14ac:dyDescent="0.25">
      <c r="B160" s="90" t="s">
        <v>471</v>
      </c>
      <c r="C160" s="100" t="s">
        <v>465</v>
      </c>
      <c r="D160" s="91" t="s">
        <v>205</v>
      </c>
      <c r="E160" s="91" t="s">
        <v>169</v>
      </c>
      <c r="F160" s="217"/>
      <c r="G160" s="91"/>
      <c r="H160" s="91"/>
      <c r="I160" s="104">
        <v>1104</v>
      </c>
      <c r="J160" s="104">
        <f>+Tabel1[[#This Row],[Stk i juli]]/$J$5</f>
        <v>55.2</v>
      </c>
      <c r="K160" s="104">
        <f>+Tabel1[[#This Row],[stk pr dag]]*$J$4</f>
        <v>276</v>
      </c>
      <c r="L160" s="124"/>
      <c r="M160" s="124">
        <f>Tabel1[[#This Row],[stk 5 dage buffer ]]+Tabel1[[#This Row],[G&amp;V Klaksvik
Par 10 ]]</f>
        <v>276</v>
      </c>
      <c r="N160" s="91"/>
      <c r="O160" s="104">
        <f>+Tabel1[[#This Row],[stk 5 dage buffer ]]*Tabel1[[#This Row],[inkøbspris pr stk]]</f>
        <v>0</v>
      </c>
      <c r="P160" s="104"/>
      <c r="Q160" s="91"/>
      <c r="R160" s="91"/>
      <c r="S160" s="91"/>
      <c r="T160" s="92"/>
    </row>
    <row r="161" spans="2:20" ht="19.5" hidden="1" customHeight="1" x14ac:dyDescent="0.25">
      <c r="B161" s="90" t="s">
        <v>437</v>
      </c>
      <c r="C161" s="100" t="s">
        <v>465</v>
      </c>
      <c r="D161" s="91" t="s">
        <v>205</v>
      </c>
      <c r="E161" s="91" t="s">
        <v>170</v>
      </c>
      <c r="F161" s="217"/>
      <c r="G161" s="91"/>
      <c r="H161" s="91"/>
      <c r="I161" s="104">
        <v>1</v>
      </c>
      <c r="J161" s="104">
        <f>+Tabel1[[#This Row],[Stk i juli]]/$J$5</f>
        <v>0.05</v>
      </c>
      <c r="K161" s="104">
        <f>+Tabel1[[#This Row],[stk pr dag]]*$J$4</f>
        <v>0.25</v>
      </c>
      <c r="L161" s="124"/>
      <c r="M161" s="124">
        <f>Tabel1[[#This Row],[stk 5 dage buffer ]]+Tabel1[[#This Row],[G&amp;V Klaksvik
Par 10 ]]</f>
        <v>0.25</v>
      </c>
      <c r="N161" s="91"/>
      <c r="O161" s="104">
        <f>+Tabel1[[#This Row],[stk 5 dage buffer ]]*Tabel1[[#This Row],[inkøbspris pr stk]]</f>
        <v>0</v>
      </c>
      <c r="P161" s="104"/>
      <c r="Q161" s="91"/>
      <c r="R161" s="91"/>
      <c r="S161" s="91"/>
      <c r="T161" s="92"/>
    </row>
    <row r="162" spans="2:20" ht="19.5" hidden="1" customHeight="1" x14ac:dyDescent="0.25">
      <c r="B162" s="90" t="s">
        <v>409</v>
      </c>
      <c r="C162" s="100" t="s">
        <v>465</v>
      </c>
      <c r="D162" s="91" t="s">
        <v>205</v>
      </c>
      <c r="E162" s="91" t="s">
        <v>171</v>
      </c>
      <c r="F162" s="217"/>
      <c r="G162" s="91"/>
      <c r="H162" s="91"/>
      <c r="I162" s="104">
        <v>18</v>
      </c>
      <c r="J162" s="104">
        <f>+Tabel1[[#This Row],[Stk i juli]]/$J$5</f>
        <v>0.9</v>
      </c>
      <c r="K162" s="104">
        <f>+Tabel1[[#This Row],[stk pr dag]]*$J$4</f>
        <v>4.5</v>
      </c>
      <c r="L162" s="124"/>
      <c r="M162" s="124">
        <f>Tabel1[[#This Row],[stk 5 dage buffer ]]+Tabel1[[#This Row],[G&amp;V Klaksvik
Par 10 ]]</f>
        <v>4.5</v>
      </c>
      <c r="N162" s="91"/>
      <c r="O162" s="104">
        <f>+Tabel1[[#This Row],[stk 5 dage buffer ]]*Tabel1[[#This Row],[inkøbspris pr stk]]</f>
        <v>0</v>
      </c>
      <c r="P162" s="104"/>
      <c r="Q162" s="91"/>
      <c r="R162" s="91"/>
      <c r="S162" s="91"/>
      <c r="T162" s="92"/>
    </row>
    <row r="163" spans="2:20" ht="19.5" hidden="1" customHeight="1" x14ac:dyDescent="0.25">
      <c r="B163" s="90" t="s">
        <v>442</v>
      </c>
      <c r="C163" s="100" t="s">
        <v>465</v>
      </c>
      <c r="D163" s="91" t="s">
        <v>205</v>
      </c>
      <c r="E163" s="91" t="s">
        <v>172</v>
      </c>
      <c r="F163" s="217"/>
      <c r="G163" s="91"/>
      <c r="H163" s="91"/>
      <c r="I163" s="104">
        <v>12</v>
      </c>
      <c r="J163" s="104">
        <f>+Tabel1[[#This Row],[Stk i juli]]/$J$5</f>
        <v>0.6</v>
      </c>
      <c r="K163" s="104">
        <f>+Tabel1[[#This Row],[stk pr dag]]*$J$4</f>
        <v>3</v>
      </c>
      <c r="L163" s="124"/>
      <c r="M163" s="124">
        <f>Tabel1[[#This Row],[stk 5 dage buffer ]]+Tabel1[[#This Row],[G&amp;V Klaksvik
Par 10 ]]</f>
        <v>3</v>
      </c>
      <c r="N163" s="91"/>
      <c r="O163" s="104">
        <f>+Tabel1[[#This Row],[stk 5 dage buffer ]]*Tabel1[[#This Row],[inkøbspris pr stk]]</f>
        <v>0</v>
      </c>
      <c r="P163" s="104"/>
      <c r="Q163" s="91"/>
      <c r="R163" s="91"/>
      <c r="S163" s="91"/>
      <c r="T163" s="92"/>
    </row>
    <row r="164" spans="2:20" ht="19.5" hidden="1" customHeight="1" x14ac:dyDescent="0.25">
      <c r="B164" s="99" t="s">
        <v>342</v>
      </c>
      <c r="C164" s="99"/>
      <c r="D164" s="91" t="s">
        <v>199</v>
      </c>
      <c r="E164" s="91" t="s">
        <v>84</v>
      </c>
      <c r="F164" s="217"/>
      <c r="G164" s="91"/>
      <c r="H164" s="91"/>
      <c r="I164" s="104"/>
      <c r="J164" s="104">
        <f>+Tabel1[[#This Row],[Stk i juli]]/$J$5</f>
        <v>0</v>
      </c>
      <c r="K164" s="104">
        <f>+Tabel1[[#This Row],[stk pr dag]]*$J$4</f>
        <v>0</v>
      </c>
      <c r="L164" s="124"/>
      <c r="M164" s="124">
        <f>Tabel1[[#This Row],[stk 5 dage buffer ]]+Tabel1[[#This Row],[G&amp;V Klaksvik
Par 10 ]]</f>
        <v>0</v>
      </c>
      <c r="N164" s="91"/>
      <c r="O164" s="104">
        <f>+Tabel1[[#This Row],[stk 5 dage buffer ]]*Tabel1[[#This Row],[inkøbspris pr stk]]</f>
        <v>0</v>
      </c>
      <c r="P164" s="104"/>
      <c r="Q164" s="91"/>
      <c r="R164" s="91"/>
      <c r="S164" s="91"/>
      <c r="T164" s="92"/>
    </row>
    <row r="165" spans="2:20" ht="19.5" hidden="1" customHeight="1" x14ac:dyDescent="0.25">
      <c r="B165" s="99" t="s">
        <v>342</v>
      </c>
      <c r="C165" s="99"/>
      <c r="D165" s="91" t="s">
        <v>199</v>
      </c>
      <c r="E165" s="91" t="s">
        <v>85</v>
      </c>
      <c r="F165" s="217"/>
      <c r="G165" s="91"/>
      <c r="H165" s="91"/>
      <c r="I165" s="104"/>
      <c r="J165" s="104">
        <f>+Tabel1[[#This Row],[Stk i juli]]/$J$5</f>
        <v>0</v>
      </c>
      <c r="K165" s="104">
        <f>+Tabel1[[#This Row],[stk pr dag]]*$J$4</f>
        <v>0</v>
      </c>
      <c r="L165" s="124"/>
      <c r="M165" s="124">
        <f>Tabel1[[#This Row],[stk 5 dage buffer ]]+Tabel1[[#This Row],[G&amp;V Klaksvik
Par 10 ]]</f>
        <v>0</v>
      </c>
      <c r="N165" s="91"/>
      <c r="O165" s="104">
        <f>+Tabel1[[#This Row],[stk 5 dage buffer ]]*Tabel1[[#This Row],[inkøbspris pr stk]]</f>
        <v>0</v>
      </c>
      <c r="P165" s="104"/>
      <c r="Q165" s="91"/>
      <c r="R165" s="91"/>
      <c r="S165" s="91"/>
      <c r="T165" s="92"/>
    </row>
    <row r="166" spans="2:20" ht="19.5" hidden="1" customHeight="1" x14ac:dyDescent="0.25">
      <c r="B166" s="99" t="s">
        <v>342</v>
      </c>
      <c r="C166" s="99"/>
      <c r="D166" s="91" t="s">
        <v>199</v>
      </c>
      <c r="E166" s="91" t="s">
        <v>86</v>
      </c>
      <c r="F166" s="217"/>
      <c r="G166" s="91"/>
      <c r="H166" s="91"/>
      <c r="I166" s="104"/>
      <c r="J166" s="104">
        <f>+Tabel1[[#This Row],[Stk i juli]]/$J$5</f>
        <v>0</v>
      </c>
      <c r="K166" s="104">
        <f>+Tabel1[[#This Row],[stk pr dag]]*$J$4</f>
        <v>0</v>
      </c>
      <c r="L166" s="124"/>
      <c r="M166" s="124">
        <f>Tabel1[[#This Row],[stk 5 dage buffer ]]+Tabel1[[#This Row],[G&amp;V Klaksvik
Par 10 ]]</f>
        <v>0</v>
      </c>
      <c r="N166" s="91"/>
      <c r="O166" s="104">
        <f>+Tabel1[[#This Row],[stk 5 dage buffer ]]*Tabel1[[#This Row],[inkøbspris pr stk]]</f>
        <v>0</v>
      </c>
      <c r="P166" s="104"/>
      <c r="Q166" s="91"/>
      <c r="R166" s="91"/>
      <c r="S166" s="91"/>
      <c r="T166" s="92"/>
    </row>
    <row r="167" spans="2:20" ht="19.5" hidden="1" customHeight="1" x14ac:dyDescent="0.25">
      <c r="B167" s="99" t="s">
        <v>342</v>
      </c>
      <c r="C167" s="99"/>
      <c r="D167" s="91" t="s">
        <v>199</v>
      </c>
      <c r="E167" s="91" t="s">
        <v>87</v>
      </c>
      <c r="F167" s="217"/>
      <c r="G167" s="91"/>
      <c r="H167" s="91"/>
      <c r="I167" s="104"/>
      <c r="J167" s="104">
        <f>+Tabel1[[#This Row],[Stk i juli]]/$J$5</f>
        <v>0</v>
      </c>
      <c r="K167" s="104">
        <f>+Tabel1[[#This Row],[stk pr dag]]*$J$4</f>
        <v>0</v>
      </c>
      <c r="L167" s="124"/>
      <c r="M167" s="124">
        <f>Tabel1[[#This Row],[stk 5 dage buffer ]]+Tabel1[[#This Row],[G&amp;V Klaksvik
Par 10 ]]</f>
        <v>0</v>
      </c>
      <c r="N167" s="91"/>
      <c r="O167" s="104">
        <f>+Tabel1[[#This Row],[stk 5 dage buffer ]]*Tabel1[[#This Row],[inkøbspris pr stk]]</f>
        <v>0</v>
      </c>
      <c r="P167" s="104"/>
      <c r="Q167" s="91"/>
      <c r="R167" s="91"/>
      <c r="S167" s="91"/>
      <c r="T167" s="92"/>
    </row>
    <row r="168" spans="2:20" ht="19.5" hidden="1" customHeight="1" x14ac:dyDescent="0.25">
      <c r="B168" s="99" t="s">
        <v>342</v>
      </c>
      <c r="C168" s="99"/>
      <c r="D168" s="91" t="s">
        <v>199</v>
      </c>
      <c r="E168" s="91" t="s">
        <v>88</v>
      </c>
      <c r="F168" s="217"/>
      <c r="G168" s="91"/>
      <c r="H168" s="91"/>
      <c r="I168" s="104"/>
      <c r="J168" s="104">
        <f>+Tabel1[[#This Row],[Stk i juli]]/$J$5</f>
        <v>0</v>
      </c>
      <c r="K168" s="104">
        <f>+Tabel1[[#This Row],[stk pr dag]]*$J$4</f>
        <v>0</v>
      </c>
      <c r="L168" s="124"/>
      <c r="M168" s="124">
        <f>Tabel1[[#This Row],[stk 5 dage buffer ]]+Tabel1[[#This Row],[G&amp;V Klaksvik
Par 10 ]]</f>
        <v>0</v>
      </c>
      <c r="N168" s="91"/>
      <c r="O168" s="104">
        <f>+Tabel1[[#This Row],[stk 5 dage buffer ]]*Tabel1[[#This Row],[inkøbspris pr stk]]</f>
        <v>0</v>
      </c>
      <c r="P168" s="104"/>
      <c r="Q168" s="91"/>
      <c r="R168" s="91"/>
      <c r="S168" s="91"/>
      <c r="T168" s="92"/>
    </row>
    <row r="169" spans="2:20" ht="19.5" hidden="1" customHeight="1" x14ac:dyDescent="0.25">
      <c r="B169" s="90" t="s">
        <v>437</v>
      </c>
      <c r="C169" s="100" t="s">
        <v>465</v>
      </c>
      <c r="D169" s="91" t="s">
        <v>205</v>
      </c>
      <c r="E169" s="91" t="s">
        <v>173</v>
      </c>
      <c r="F169" s="217"/>
      <c r="G169" s="91"/>
      <c r="H169" s="91"/>
      <c r="I169" s="104">
        <v>10</v>
      </c>
      <c r="J169" s="104">
        <f>+Tabel1[[#This Row],[Stk i juli]]/$J$5</f>
        <v>0.5</v>
      </c>
      <c r="K169" s="104">
        <f>+Tabel1[[#This Row],[stk pr dag]]*$J$4</f>
        <v>2.5</v>
      </c>
      <c r="L169" s="124"/>
      <c r="M169" s="124">
        <f>Tabel1[[#This Row],[stk 5 dage buffer ]]+Tabel1[[#This Row],[G&amp;V Klaksvik
Par 10 ]]</f>
        <v>2.5</v>
      </c>
      <c r="N169" s="91"/>
      <c r="O169" s="104">
        <f>+Tabel1[[#This Row],[stk 5 dage buffer ]]*Tabel1[[#This Row],[inkøbspris pr stk]]</f>
        <v>0</v>
      </c>
      <c r="P169" s="104"/>
      <c r="Q169" s="91"/>
      <c r="R169" s="91"/>
      <c r="S169" s="91"/>
      <c r="T169" s="92"/>
    </row>
    <row r="170" spans="2:20" ht="19.5" hidden="1" customHeight="1" x14ac:dyDescent="0.25">
      <c r="B170" s="90" t="s">
        <v>443</v>
      </c>
      <c r="C170" s="100" t="s">
        <v>465</v>
      </c>
      <c r="D170" s="91" t="s">
        <v>205</v>
      </c>
      <c r="E170" s="91" t="s">
        <v>174</v>
      </c>
      <c r="F170" s="217"/>
      <c r="G170" s="91"/>
      <c r="H170" s="91"/>
      <c r="I170" s="104">
        <v>22</v>
      </c>
      <c r="J170" s="104">
        <f>+Tabel1[[#This Row],[Stk i juli]]/$J$5</f>
        <v>1.1000000000000001</v>
      </c>
      <c r="K170" s="104">
        <f>+Tabel1[[#This Row],[stk pr dag]]*$J$4</f>
        <v>5.5</v>
      </c>
      <c r="L170" s="124"/>
      <c r="M170" s="124">
        <f>Tabel1[[#This Row],[stk 5 dage buffer ]]+Tabel1[[#This Row],[G&amp;V Klaksvik
Par 10 ]]</f>
        <v>5.5</v>
      </c>
      <c r="N170" s="91"/>
      <c r="O170" s="104">
        <f>+Tabel1[[#This Row],[stk 5 dage buffer ]]*Tabel1[[#This Row],[inkøbspris pr stk]]</f>
        <v>0</v>
      </c>
      <c r="P170" s="104"/>
      <c r="Q170" s="91"/>
      <c r="R170" s="91"/>
      <c r="S170" s="91"/>
      <c r="T170" s="92"/>
    </row>
    <row r="171" spans="2:20" ht="19.5" hidden="1" customHeight="1" x14ac:dyDescent="0.25">
      <c r="B171" s="90" t="s">
        <v>444</v>
      </c>
      <c r="C171" s="100" t="s">
        <v>465</v>
      </c>
      <c r="D171" s="91" t="s">
        <v>205</v>
      </c>
      <c r="E171" s="91" t="s">
        <v>175</v>
      </c>
      <c r="F171" s="217"/>
      <c r="G171" s="91"/>
      <c r="H171" s="91"/>
      <c r="I171" s="104">
        <v>108</v>
      </c>
      <c r="J171" s="104">
        <f>+Tabel1[[#This Row],[Stk i juli]]/$J$5</f>
        <v>5.4</v>
      </c>
      <c r="K171" s="104">
        <f>+Tabel1[[#This Row],[stk pr dag]]*$J$4</f>
        <v>27</v>
      </c>
      <c r="L171" s="124"/>
      <c r="M171" s="124">
        <f>Tabel1[[#This Row],[stk 5 dage buffer ]]+Tabel1[[#This Row],[G&amp;V Klaksvik
Par 10 ]]</f>
        <v>27</v>
      </c>
      <c r="N171" s="91"/>
      <c r="O171" s="104">
        <f>+Tabel1[[#This Row],[stk 5 dage buffer ]]*Tabel1[[#This Row],[inkøbspris pr stk]]</f>
        <v>0</v>
      </c>
      <c r="P171" s="104"/>
      <c r="Q171" s="91"/>
      <c r="R171" s="91"/>
      <c r="S171" s="91"/>
      <c r="T171" s="92"/>
    </row>
    <row r="172" spans="2:20" ht="19.5" hidden="1" customHeight="1" x14ac:dyDescent="0.25">
      <c r="B172" s="90" t="s">
        <v>445</v>
      </c>
      <c r="C172" s="100" t="s">
        <v>465</v>
      </c>
      <c r="D172" s="91" t="s">
        <v>205</v>
      </c>
      <c r="E172" s="91" t="s">
        <v>176</v>
      </c>
      <c r="F172" s="217"/>
      <c r="G172" s="91"/>
      <c r="H172" s="91"/>
      <c r="I172" s="104">
        <v>18</v>
      </c>
      <c r="J172" s="104">
        <f>+Tabel1[[#This Row],[Stk i juli]]/$J$5</f>
        <v>0.9</v>
      </c>
      <c r="K172" s="104">
        <f>+Tabel1[[#This Row],[stk pr dag]]*$J$4</f>
        <v>4.5</v>
      </c>
      <c r="L172" s="124"/>
      <c r="M172" s="124">
        <f>Tabel1[[#This Row],[stk 5 dage buffer ]]+Tabel1[[#This Row],[G&amp;V Klaksvik
Par 10 ]]</f>
        <v>4.5</v>
      </c>
      <c r="N172" s="91"/>
      <c r="O172" s="104">
        <f>+Tabel1[[#This Row],[stk 5 dage buffer ]]*Tabel1[[#This Row],[inkøbspris pr stk]]</f>
        <v>0</v>
      </c>
      <c r="P172" s="104"/>
      <c r="Q172" s="91"/>
      <c r="R172" s="91"/>
      <c r="S172" s="91"/>
      <c r="T172" s="92"/>
    </row>
    <row r="173" spans="2:20" ht="19.5" hidden="1" customHeight="1" x14ac:dyDescent="0.25">
      <c r="B173" s="90" t="s">
        <v>446</v>
      </c>
      <c r="C173" s="100" t="s">
        <v>465</v>
      </c>
      <c r="D173" s="91" t="s">
        <v>205</v>
      </c>
      <c r="E173" s="91" t="s">
        <v>177</v>
      </c>
      <c r="F173" s="217"/>
      <c r="G173" s="91"/>
      <c r="H173" s="91"/>
      <c r="I173" s="104">
        <v>1616</v>
      </c>
      <c r="J173" s="104">
        <f>+Tabel1[[#This Row],[Stk i juli]]/$J$5</f>
        <v>80.8</v>
      </c>
      <c r="K173" s="104">
        <f>+Tabel1[[#This Row],[stk pr dag]]*$J$4</f>
        <v>404</v>
      </c>
      <c r="L173" s="124"/>
      <c r="M173" s="124">
        <f>Tabel1[[#This Row],[stk 5 dage buffer ]]+Tabel1[[#This Row],[G&amp;V Klaksvik
Par 10 ]]</f>
        <v>404</v>
      </c>
      <c r="N173" s="91"/>
      <c r="O173" s="104">
        <f>+Tabel1[[#This Row],[stk 5 dage buffer ]]*Tabel1[[#This Row],[inkøbspris pr stk]]</f>
        <v>0</v>
      </c>
      <c r="P173" s="104"/>
      <c r="Q173" s="91"/>
      <c r="R173" s="91"/>
      <c r="S173" s="91"/>
      <c r="T173" s="92"/>
    </row>
    <row r="174" spans="2:20" ht="19.5" hidden="1" customHeight="1" x14ac:dyDescent="0.25">
      <c r="B174" s="99" t="s">
        <v>342</v>
      </c>
      <c r="C174" s="99"/>
      <c r="D174" s="91" t="s">
        <v>199</v>
      </c>
      <c r="E174" s="91" t="s">
        <v>96</v>
      </c>
      <c r="F174" s="217"/>
      <c r="G174" s="91"/>
      <c r="H174" s="91"/>
      <c r="I174" s="104"/>
      <c r="J174" s="104">
        <f>+Tabel1[[#This Row],[Stk i juli]]/$J$5</f>
        <v>0</v>
      </c>
      <c r="K174" s="104">
        <f>+Tabel1[[#This Row],[stk pr dag]]*$J$4</f>
        <v>0</v>
      </c>
      <c r="L174" s="124"/>
      <c r="M174" s="124">
        <f>Tabel1[[#This Row],[stk 5 dage buffer ]]+Tabel1[[#This Row],[G&amp;V Klaksvik
Par 10 ]]</f>
        <v>0</v>
      </c>
      <c r="N174" s="91"/>
      <c r="O174" s="104">
        <f>+Tabel1[[#This Row],[stk 5 dage buffer ]]*Tabel1[[#This Row],[inkøbspris pr stk]]</f>
        <v>0</v>
      </c>
      <c r="P174" s="104"/>
      <c r="Q174" s="91"/>
      <c r="R174" s="91"/>
      <c r="S174" s="91"/>
      <c r="T174" s="92"/>
    </row>
    <row r="175" spans="2:20" ht="19.5" hidden="1" customHeight="1" x14ac:dyDescent="0.25">
      <c r="B175" s="99" t="s">
        <v>342</v>
      </c>
      <c r="C175" s="99"/>
      <c r="D175" s="101" t="s">
        <v>204</v>
      </c>
      <c r="E175" s="91" t="s">
        <v>97</v>
      </c>
      <c r="F175" s="217"/>
      <c r="G175" s="91"/>
      <c r="H175" s="91"/>
      <c r="I175" s="104"/>
      <c r="J175" s="104">
        <f>+Tabel1[[#This Row],[Stk i juli]]/$J$5</f>
        <v>0</v>
      </c>
      <c r="K175" s="104">
        <f>+Tabel1[[#This Row],[stk pr dag]]*$J$4</f>
        <v>0</v>
      </c>
      <c r="L175" s="124"/>
      <c r="M175" s="124">
        <f>Tabel1[[#This Row],[stk 5 dage buffer ]]+Tabel1[[#This Row],[G&amp;V Klaksvik
Par 10 ]]</f>
        <v>0</v>
      </c>
      <c r="N175" s="91"/>
      <c r="O175" s="104">
        <f>+Tabel1[[#This Row],[stk 5 dage buffer ]]*Tabel1[[#This Row],[inkøbspris pr stk]]</f>
        <v>0</v>
      </c>
      <c r="P175" s="104"/>
      <c r="Q175" s="91"/>
      <c r="R175" s="91"/>
      <c r="S175" s="91"/>
      <c r="T175" s="92"/>
    </row>
    <row r="176" spans="2:20" ht="19.5" hidden="1" customHeight="1" x14ac:dyDescent="0.25">
      <c r="B176" s="90" t="s">
        <v>447</v>
      </c>
      <c r="C176" s="100" t="s">
        <v>465</v>
      </c>
      <c r="D176" s="91" t="s">
        <v>205</v>
      </c>
      <c r="E176" s="91" t="s">
        <v>178</v>
      </c>
      <c r="F176" s="217"/>
      <c r="G176" s="91"/>
      <c r="H176" s="91"/>
      <c r="I176" s="104">
        <v>27</v>
      </c>
      <c r="J176" s="104">
        <f>+Tabel1[[#This Row],[Stk i juli]]/$J$5</f>
        <v>1.35</v>
      </c>
      <c r="K176" s="104">
        <f>+Tabel1[[#This Row],[stk pr dag]]*$J$4</f>
        <v>6.75</v>
      </c>
      <c r="L176" s="124"/>
      <c r="M176" s="124">
        <f>Tabel1[[#This Row],[stk 5 dage buffer ]]+Tabel1[[#This Row],[G&amp;V Klaksvik
Par 10 ]]</f>
        <v>6.75</v>
      </c>
      <c r="N176" s="91"/>
      <c r="O176" s="104">
        <f>+Tabel1[[#This Row],[stk 5 dage buffer ]]*Tabel1[[#This Row],[inkøbspris pr stk]]</f>
        <v>0</v>
      </c>
      <c r="P176" s="104"/>
      <c r="Q176" s="91"/>
      <c r="R176" s="91"/>
      <c r="S176" s="91"/>
      <c r="T176" s="92"/>
    </row>
    <row r="177" spans="1:20" ht="19.5" hidden="1" customHeight="1" x14ac:dyDescent="0.25">
      <c r="B177" s="90" t="s">
        <v>448</v>
      </c>
      <c r="C177" s="100" t="s">
        <v>465</v>
      </c>
      <c r="D177" s="91" t="s">
        <v>205</v>
      </c>
      <c r="E177" s="91" t="s">
        <v>179</v>
      </c>
      <c r="F177" s="217"/>
      <c r="G177" s="91"/>
      <c r="H177" s="91"/>
      <c r="I177" s="104">
        <v>44</v>
      </c>
      <c r="J177" s="104">
        <f>+Tabel1[[#This Row],[Stk i juli]]/$J$5</f>
        <v>2.2000000000000002</v>
      </c>
      <c r="K177" s="104">
        <f>+Tabel1[[#This Row],[stk pr dag]]*$J$4</f>
        <v>11</v>
      </c>
      <c r="L177" s="124"/>
      <c r="M177" s="124">
        <f>Tabel1[[#This Row],[stk 5 dage buffer ]]+Tabel1[[#This Row],[G&amp;V Klaksvik
Par 10 ]]</f>
        <v>11</v>
      </c>
      <c r="N177" s="91"/>
      <c r="O177" s="104">
        <f>+Tabel1[[#This Row],[stk 5 dage buffer ]]*Tabel1[[#This Row],[inkøbspris pr stk]]</f>
        <v>0</v>
      </c>
      <c r="P177" s="104"/>
      <c r="Q177" s="91"/>
      <c r="R177" s="91"/>
      <c r="S177" s="91"/>
      <c r="T177" s="92"/>
    </row>
    <row r="178" spans="1:20" ht="19.5" hidden="1" customHeight="1" x14ac:dyDescent="0.25">
      <c r="B178" s="90" t="s">
        <v>415</v>
      </c>
      <c r="C178" s="100" t="s">
        <v>465</v>
      </c>
      <c r="D178" s="91" t="s">
        <v>205</v>
      </c>
      <c r="E178" s="91" t="s">
        <v>180</v>
      </c>
      <c r="F178" s="217"/>
      <c r="G178" s="91"/>
      <c r="H178" s="91"/>
      <c r="I178" s="104">
        <v>15</v>
      </c>
      <c r="J178" s="104">
        <f>+Tabel1[[#This Row],[Stk i juli]]/$J$5</f>
        <v>0.75</v>
      </c>
      <c r="K178" s="104">
        <f>+Tabel1[[#This Row],[stk pr dag]]*$J$4</f>
        <v>3.75</v>
      </c>
      <c r="L178" s="124"/>
      <c r="M178" s="124">
        <f>Tabel1[[#This Row],[stk 5 dage buffer ]]+Tabel1[[#This Row],[G&amp;V Klaksvik
Par 10 ]]</f>
        <v>3.75</v>
      </c>
      <c r="N178" s="91"/>
      <c r="O178" s="104">
        <f>+Tabel1[[#This Row],[stk 5 dage buffer ]]*Tabel1[[#This Row],[inkøbspris pr stk]]</f>
        <v>0</v>
      </c>
      <c r="P178" s="104"/>
      <c r="Q178" s="91"/>
      <c r="R178" s="91"/>
      <c r="S178" s="91"/>
      <c r="T178" s="92"/>
    </row>
    <row r="179" spans="1:20" ht="19.5" hidden="1" customHeight="1" x14ac:dyDescent="0.25">
      <c r="B179" s="90" t="s">
        <v>431</v>
      </c>
      <c r="C179" s="100" t="s">
        <v>465</v>
      </c>
      <c r="D179" s="91" t="s">
        <v>205</v>
      </c>
      <c r="E179" s="91" t="s">
        <v>181</v>
      </c>
      <c r="F179" s="217"/>
      <c r="G179" s="91"/>
      <c r="H179" s="91"/>
      <c r="I179" s="104">
        <v>15</v>
      </c>
      <c r="J179" s="104">
        <f>+Tabel1[[#This Row],[Stk i juli]]/$J$5</f>
        <v>0.75</v>
      </c>
      <c r="K179" s="104">
        <f>+Tabel1[[#This Row],[stk pr dag]]*$J$4</f>
        <v>3.75</v>
      </c>
      <c r="L179" s="124"/>
      <c r="M179" s="124">
        <f>Tabel1[[#This Row],[stk 5 dage buffer ]]+Tabel1[[#This Row],[G&amp;V Klaksvik
Par 10 ]]</f>
        <v>3.75</v>
      </c>
      <c r="N179" s="91"/>
      <c r="O179" s="104">
        <f>+Tabel1[[#This Row],[stk 5 dage buffer ]]*Tabel1[[#This Row],[inkøbspris pr stk]]</f>
        <v>0</v>
      </c>
      <c r="P179" s="104"/>
      <c r="Q179" s="91"/>
      <c r="R179" s="91"/>
      <c r="S179" s="91"/>
      <c r="T179" s="92"/>
    </row>
    <row r="180" spans="1:20" ht="19.5" hidden="1" customHeight="1" x14ac:dyDescent="0.25">
      <c r="B180" s="90" t="s">
        <v>449</v>
      </c>
      <c r="C180" s="100" t="s">
        <v>465</v>
      </c>
      <c r="D180" s="91" t="s">
        <v>205</v>
      </c>
      <c r="E180" s="91" t="s">
        <v>182</v>
      </c>
      <c r="F180" s="217"/>
      <c r="G180" s="91"/>
      <c r="H180" s="91"/>
      <c r="I180" s="104">
        <v>2</v>
      </c>
      <c r="J180" s="104">
        <f>+Tabel1[[#This Row],[Stk i juli]]/$J$5</f>
        <v>0.1</v>
      </c>
      <c r="K180" s="104">
        <f>+Tabel1[[#This Row],[stk pr dag]]*$J$4</f>
        <v>0.5</v>
      </c>
      <c r="L180" s="124"/>
      <c r="M180" s="124">
        <f>Tabel1[[#This Row],[stk 5 dage buffer ]]+Tabel1[[#This Row],[G&amp;V Klaksvik
Par 10 ]]</f>
        <v>0.5</v>
      </c>
      <c r="N180" s="91"/>
      <c r="O180" s="104">
        <f>+Tabel1[[#This Row],[stk 5 dage buffer ]]*Tabel1[[#This Row],[inkøbspris pr stk]]</f>
        <v>0</v>
      </c>
      <c r="P180" s="104"/>
      <c r="Q180" s="91"/>
      <c r="R180" s="91"/>
      <c r="S180" s="91"/>
      <c r="T180" s="92"/>
    </row>
    <row r="181" spans="1:20" ht="19.5" hidden="1" customHeight="1" x14ac:dyDescent="0.25">
      <c r="B181" s="90" t="s">
        <v>450</v>
      </c>
      <c r="C181" s="100" t="s">
        <v>465</v>
      </c>
      <c r="D181" s="91" t="s">
        <v>205</v>
      </c>
      <c r="E181" s="91" t="s">
        <v>184</v>
      </c>
      <c r="F181" s="217"/>
      <c r="G181" s="91"/>
      <c r="H181" s="91"/>
      <c r="I181" s="104">
        <v>2</v>
      </c>
      <c r="J181" s="104">
        <f>+Tabel1[[#This Row],[Stk i juli]]/$J$5</f>
        <v>0.1</v>
      </c>
      <c r="K181" s="104">
        <f>+Tabel1[[#This Row],[stk pr dag]]*$J$4</f>
        <v>0.5</v>
      </c>
      <c r="L181" s="124"/>
      <c r="M181" s="124">
        <f>Tabel1[[#This Row],[stk 5 dage buffer ]]+Tabel1[[#This Row],[G&amp;V Klaksvik
Par 10 ]]</f>
        <v>0.5</v>
      </c>
      <c r="N181" s="91"/>
      <c r="O181" s="104">
        <f>+Tabel1[[#This Row],[stk 5 dage buffer ]]*Tabel1[[#This Row],[inkøbspris pr stk]]</f>
        <v>0</v>
      </c>
      <c r="P181" s="104"/>
      <c r="Q181" s="91"/>
      <c r="R181" s="91"/>
      <c r="S181" s="91"/>
      <c r="T181" s="92"/>
    </row>
    <row r="182" spans="1:20" ht="19.5" hidden="1" customHeight="1" x14ac:dyDescent="0.25">
      <c r="B182" s="90" t="s">
        <v>451</v>
      </c>
      <c r="C182" s="100" t="s">
        <v>465</v>
      </c>
      <c r="D182" s="91" t="s">
        <v>205</v>
      </c>
      <c r="E182" s="91" t="s">
        <v>185</v>
      </c>
      <c r="F182" s="217"/>
      <c r="G182" s="91"/>
      <c r="H182" s="91"/>
      <c r="I182" s="104">
        <v>1200</v>
      </c>
      <c r="J182" s="104">
        <f>+Tabel1[[#This Row],[Stk i juli]]/$J$5</f>
        <v>60</v>
      </c>
      <c r="K182" s="104">
        <f>+Tabel1[[#This Row],[stk pr dag]]*$J$4</f>
        <v>300</v>
      </c>
      <c r="L182" s="124"/>
      <c r="M182" s="124">
        <f>Tabel1[[#This Row],[stk 5 dage buffer ]]+Tabel1[[#This Row],[G&amp;V Klaksvik
Par 10 ]]</f>
        <v>300</v>
      </c>
      <c r="N182" s="91"/>
      <c r="O182" s="104">
        <f>+Tabel1[[#This Row],[stk 5 dage buffer ]]*Tabel1[[#This Row],[inkøbspris pr stk]]</f>
        <v>0</v>
      </c>
      <c r="P182" s="104"/>
      <c r="Q182" s="91"/>
      <c r="R182" s="91"/>
      <c r="S182" s="91"/>
      <c r="T182" s="92"/>
    </row>
    <row r="183" spans="1:20" ht="19.5" hidden="1" customHeight="1" x14ac:dyDescent="0.25">
      <c r="B183" s="90" t="s">
        <v>452</v>
      </c>
      <c r="C183" s="100" t="s">
        <v>465</v>
      </c>
      <c r="D183" s="91" t="s">
        <v>205</v>
      </c>
      <c r="E183" s="91" t="s">
        <v>186</v>
      </c>
      <c r="F183" s="217"/>
      <c r="G183" s="91"/>
      <c r="H183" s="91"/>
      <c r="I183" s="104">
        <v>600</v>
      </c>
      <c r="J183" s="104">
        <f>+Tabel1[[#This Row],[Stk i juli]]/$J$5</f>
        <v>30</v>
      </c>
      <c r="K183" s="104">
        <f>+Tabel1[[#This Row],[stk pr dag]]*$J$4</f>
        <v>150</v>
      </c>
      <c r="L183" s="124"/>
      <c r="M183" s="124">
        <f>Tabel1[[#This Row],[stk 5 dage buffer ]]+Tabel1[[#This Row],[G&amp;V Klaksvik
Par 10 ]]</f>
        <v>150</v>
      </c>
      <c r="N183" s="91"/>
      <c r="O183" s="104">
        <f>+Tabel1[[#This Row],[stk 5 dage buffer ]]*Tabel1[[#This Row],[inkøbspris pr stk]]</f>
        <v>0</v>
      </c>
      <c r="P183" s="104"/>
      <c r="Q183" s="91"/>
      <c r="R183" s="91"/>
      <c r="S183" s="91"/>
      <c r="T183" s="92"/>
    </row>
    <row r="184" spans="1:20" ht="19.5" hidden="1" customHeight="1" x14ac:dyDescent="0.25">
      <c r="B184" s="90" t="s">
        <v>437</v>
      </c>
      <c r="C184" s="100" t="s">
        <v>465</v>
      </c>
      <c r="D184" s="91" t="s">
        <v>205</v>
      </c>
      <c r="E184" s="91" t="s">
        <v>187</v>
      </c>
      <c r="F184" s="217"/>
      <c r="G184" s="91"/>
      <c r="H184" s="91"/>
      <c r="I184" s="104">
        <v>151</v>
      </c>
      <c r="J184" s="104">
        <f>+Tabel1[[#This Row],[Stk i juli]]/$J$5</f>
        <v>7.55</v>
      </c>
      <c r="K184" s="104">
        <f>+Tabel1[[#This Row],[stk pr dag]]*$J$4</f>
        <v>37.75</v>
      </c>
      <c r="L184" s="124"/>
      <c r="M184" s="124">
        <f>Tabel1[[#This Row],[stk 5 dage buffer ]]+Tabel1[[#This Row],[G&amp;V Klaksvik
Par 10 ]]</f>
        <v>37.75</v>
      </c>
      <c r="N184" s="91"/>
      <c r="O184" s="104">
        <f>+Tabel1[[#This Row],[stk 5 dage buffer ]]*Tabel1[[#This Row],[inkøbspris pr stk]]</f>
        <v>0</v>
      </c>
      <c r="P184" s="104"/>
      <c r="Q184" s="91"/>
      <c r="R184" s="91"/>
      <c r="S184" s="91"/>
      <c r="T184" s="92"/>
    </row>
    <row r="185" spans="1:20" ht="19.5" hidden="1" customHeight="1" x14ac:dyDescent="0.25">
      <c r="B185" s="90" t="s">
        <v>440</v>
      </c>
      <c r="C185" s="100" t="s">
        <v>465</v>
      </c>
      <c r="D185" s="91" t="s">
        <v>205</v>
      </c>
      <c r="E185" s="91" t="s">
        <v>188</v>
      </c>
      <c r="F185" s="217"/>
      <c r="G185" s="91"/>
      <c r="H185" s="91"/>
      <c r="I185" s="104">
        <v>130</v>
      </c>
      <c r="J185" s="104">
        <f>+Tabel1[[#This Row],[Stk i juli]]/$J$5</f>
        <v>6.5</v>
      </c>
      <c r="K185" s="104">
        <f>+Tabel1[[#This Row],[stk pr dag]]*$J$4</f>
        <v>32.5</v>
      </c>
      <c r="L185" s="124"/>
      <c r="M185" s="124">
        <f>Tabel1[[#This Row],[stk 5 dage buffer ]]+Tabel1[[#This Row],[G&amp;V Klaksvik
Par 10 ]]</f>
        <v>32.5</v>
      </c>
      <c r="N185" s="91"/>
      <c r="O185" s="104">
        <f>+Tabel1[[#This Row],[stk 5 dage buffer ]]*Tabel1[[#This Row],[inkøbspris pr stk]]</f>
        <v>0</v>
      </c>
      <c r="P185" s="104"/>
      <c r="Q185" s="91"/>
      <c r="R185" s="91"/>
      <c r="S185" s="91"/>
      <c r="T185" s="92"/>
    </row>
    <row r="186" spans="1:20" ht="19.5" hidden="1" customHeight="1" x14ac:dyDescent="0.25">
      <c r="B186" s="90" t="s">
        <v>453</v>
      </c>
      <c r="C186" s="100" t="s">
        <v>465</v>
      </c>
      <c r="D186" s="91" t="s">
        <v>205</v>
      </c>
      <c r="E186" s="91" t="s">
        <v>190</v>
      </c>
      <c r="F186" s="217"/>
      <c r="G186" s="91"/>
      <c r="H186" s="91"/>
      <c r="I186" s="104">
        <v>123</v>
      </c>
      <c r="J186" s="104">
        <f>+Tabel1[[#This Row],[Stk i juli]]/$J$5</f>
        <v>6.15</v>
      </c>
      <c r="K186" s="104">
        <f>+Tabel1[[#This Row],[stk pr dag]]*$J$4</f>
        <v>30.75</v>
      </c>
      <c r="L186" s="124"/>
      <c r="M186" s="124">
        <f>Tabel1[[#This Row],[stk 5 dage buffer ]]+Tabel1[[#This Row],[G&amp;V Klaksvik
Par 10 ]]</f>
        <v>30.75</v>
      </c>
      <c r="N186" s="91"/>
      <c r="O186" s="104">
        <f>+Tabel1[[#This Row],[stk 5 dage buffer ]]*Tabel1[[#This Row],[inkøbspris pr stk]]</f>
        <v>0</v>
      </c>
      <c r="P186" s="104"/>
      <c r="Q186" s="91"/>
      <c r="R186" s="91"/>
      <c r="S186" s="91"/>
      <c r="T186" s="92"/>
    </row>
    <row r="187" spans="1:20" ht="19.5" hidden="1" customHeight="1" x14ac:dyDescent="0.25">
      <c r="B187" s="90" t="s">
        <v>454</v>
      </c>
      <c r="C187" s="100" t="s">
        <v>465</v>
      </c>
      <c r="D187" s="91" t="s">
        <v>205</v>
      </c>
      <c r="E187" s="91" t="s">
        <v>191</v>
      </c>
      <c r="F187" s="217"/>
      <c r="G187" s="91"/>
      <c r="H187" s="91"/>
      <c r="I187" s="104">
        <v>13</v>
      </c>
      <c r="J187" s="104">
        <f>+Tabel1[[#This Row],[Stk i juli]]/$J$5</f>
        <v>0.65</v>
      </c>
      <c r="K187" s="104">
        <f>+Tabel1[[#This Row],[stk pr dag]]*$J$4</f>
        <v>3.25</v>
      </c>
      <c r="L187" s="124"/>
      <c r="M187" s="124">
        <f>Tabel1[[#This Row],[stk 5 dage buffer ]]+Tabel1[[#This Row],[G&amp;V Klaksvik
Par 10 ]]</f>
        <v>3.25</v>
      </c>
      <c r="N187" s="91"/>
      <c r="O187" s="104">
        <f>+Tabel1[[#This Row],[stk 5 dage buffer ]]*Tabel1[[#This Row],[inkøbspris pr stk]]</f>
        <v>0</v>
      </c>
      <c r="P187" s="104"/>
      <c r="Q187" s="91"/>
      <c r="R187" s="91"/>
      <c r="S187" s="91"/>
      <c r="T187" s="92"/>
    </row>
    <row r="188" spans="1:20" ht="19.5" hidden="1" customHeight="1" x14ac:dyDescent="0.25">
      <c r="B188" s="90" t="s">
        <v>455</v>
      </c>
      <c r="C188" s="100" t="s">
        <v>465</v>
      </c>
      <c r="D188" s="91" t="s">
        <v>205</v>
      </c>
      <c r="E188" s="91" t="s">
        <v>192</v>
      </c>
      <c r="F188" s="217"/>
      <c r="G188" s="91"/>
      <c r="H188" s="91"/>
      <c r="I188" s="104">
        <v>5</v>
      </c>
      <c r="J188" s="104">
        <f>+Tabel1[[#This Row],[Stk i juli]]/$J$5</f>
        <v>0.25</v>
      </c>
      <c r="K188" s="104">
        <f>+Tabel1[[#This Row],[stk pr dag]]*$J$4</f>
        <v>1.25</v>
      </c>
      <c r="L188" s="124"/>
      <c r="M188" s="124">
        <f>Tabel1[[#This Row],[stk 5 dage buffer ]]+Tabel1[[#This Row],[G&amp;V Klaksvik
Par 10 ]]</f>
        <v>1.25</v>
      </c>
      <c r="N188" s="91"/>
      <c r="O188" s="104">
        <f>+Tabel1[[#This Row],[stk 5 dage buffer ]]*Tabel1[[#This Row],[inkøbspris pr stk]]</f>
        <v>0</v>
      </c>
      <c r="P188" s="104"/>
      <c r="Q188" s="91"/>
      <c r="R188" s="91"/>
      <c r="S188" s="91"/>
      <c r="T188" s="92"/>
    </row>
    <row r="189" spans="1:20" ht="19.5" hidden="1" customHeight="1" x14ac:dyDescent="0.25">
      <c r="B189" s="90" t="s">
        <v>456</v>
      </c>
      <c r="C189" s="100" t="s">
        <v>465</v>
      </c>
      <c r="D189" s="91" t="s">
        <v>205</v>
      </c>
      <c r="E189" s="91" t="s">
        <v>193</v>
      </c>
      <c r="F189" s="217"/>
      <c r="G189" s="91"/>
      <c r="H189" s="91"/>
      <c r="I189" s="104">
        <v>2</v>
      </c>
      <c r="J189" s="104">
        <f>+Tabel1[[#This Row],[Stk i juli]]/$J$5</f>
        <v>0.1</v>
      </c>
      <c r="K189" s="104">
        <f>+Tabel1[[#This Row],[stk pr dag]]*$J$4</f>
        <v>0.5</v>
      </c>
      <c r="L189" s="124"/>
      <c r="M189" s="124">
        <f>Tabel1[[#This Row],[stk 5 dage buffer ]]+Tabel1[[#This Row],[G&amp;V Klaksvik
Par 10 ]]</f>
        <v>0.5</v>
      </c>
      <c r="N189" s="91"/>
      <c r="O189" s="104">
        <f>+Tabel1[[#This Row],[stk 5 dage buffer ]]*Tabel1[[#This Row],[inkøbspris pr stk]]</f>
        <v>0</v>
      </c>
      <c r="P189" s="104"/>
      <c r="Q189" s="91"/>
      <c r="R189" s="91"/>
      <c r="S189" s="91"/>
      <c r="T189" s="92"/>
    </row>
    <row r="190" spans="1:20" ht="19.5" customHeight="1" x14ac:dyDescent="0.25">
      <c r="A190" s="121" t="s">
        <v>463</v>
      </c>
      <c r="B190" s="214" t="s">
        <v>482</v>
      </c>
      <c r="C190" s="93" t="s">
        <v>463</v>
      </c>
      <c r="D190" s="94" t="s">
        <v>200</v>
      </c>
      <c r="E190" s="94" t="s">
        <v>32</v>
      </c>
      <c r="F190" s="212" t="s">
        <v>673</v>
      </c>
      <c r="G190" s="208" t="s">
        <v>638</v>
      </c>
      <c r="H190" s="94" t="s">
        <v>308</v>
      </c>
      <c r="I190" s="125">
        <v>12330</v>
      </c>
      <c r="J190" s="125">
        <f>+Tabel1[[#This Row],[Stk i juli]]/$J$5</f>
        <v>616.5</v>
      </c>
      <c r="K190" s="125">
        <f>+Tabel1[[#This Row],[stk pr dag]]*$J$4</f>
        <v>3082.5</v>
      </c>
      <c r="L190" s="125">
        <v>3240</v>
      </c>
      <c r="M190" s="124">
        <f>Tabel1[[#This Row],[stk 5 dage buffer ]]+Tabel1[[#This Row],[G&amp;V Klaksvik
Par 10 ]]</f>
        <v>6322.5</v>
      </c>
      <c r="N190" s="146">
        <v>2.2999999999999998</v>
      </c>
      <c r="O190" s="105">
        <f>+Tabel1[[#This Row],[stk 5 dage buffer ]]*Tabel1[[#This Row],[inkøbspris pr stk]]</f>
        <v>7089.7499999999991</v>
      </c>
      <c r="P190" s="104">
        <f>0.48*0.25*0.25</f>
        <v>0.03</v>
      </c>
      <c r="Q190" s="94"/>
      <c r="R190" s="115">
        <v>1000</v>
      </c>
      <c r="S190" s="107">
        <f>+Tabel1[[#This Row],[stk 5 dage buffer ]]/Tabel1[[#This Row],[stk pr container]]</f>
        <v>3.0825</v>
      </c>
      <c r="T190" s="108">
        <f t="shared" ref="T190" si="12">IF(S190=0,0,S190*$T$5)</f>
        <v>1.7262000000000002</v>
      </c>
    </row>
    <row r="191" spans="1:20" ht="19.5" hidden="1" customHeight="1" x14ac:dyDescent="0.25">
      <c r="B191" s="140" t="s">
        <v>498</v>
      </c>
      <c r="C191" s="140"/>
      <c r="D191" s="141"/>
      <c r="E191" s="141"/>
      <c r="F191" s="219"/>
      <c r="G191" s="141"/>
      <c r="H191" s="141"/>
      <c r="I191" s="142"/>
      <c r="J191" s="142">
        <f>+Tabel1[[#This Row],[Stk i juli]]/$J$5</f>
        <v>0</v>
      </c>
      <c r="K191" s="117"/>
      <c r="L191" s="129"/>
      <c r="M191" s="124">
        <f>Tabel1[[#This Row],[stk 5 dage buffer ]]+Tabel1[[#This Row],[G&amp;V Klaksvik
Par 10 ]]</f>
        <v>0</v>
      </c>
      <c r="N191" s="146"/>
      <c r="O191" s="142">
        <f>+Tabel1[[#This Row],[stk 5 dage buffer ]]*Tabel1[[#This Row],[inkøbspris pr stk]]</f>
        <v>0</v>
      </c>
      <c r="P191" s="142"/>
      <c r="Q191" s="141"/>
      <c r="R191" s="141"/>
      <c r="S191" s="143"/>
      <c r="T191" s="144"/>
    </row>
    <row r="192" spans="1:20" ht="28.5" customHeight="1" x14ac:dyDescent="0.25">
      <c r="B192" s="98"/>
      <c r="C192" s="98"/>
      <c r="D192" s="98"/>
      <c r="E192" s="98"/>
      <c r="F192" s="220"/>
      <c r="G192" s="98"/>
      <c r="H192" s="98"/>
      <c r="I192" s="106">
        <f>SUBTOTAL(109,Tabel1[Stk i juli])</f>
        <v>132169</v>
      </c>
      <c r="J192" s="106">
        <f>SUBTOTAL(109,Tabel1[stk pr dag])</f>
        <v>6608.4499999999989</v>
      </c>
      <c r="K192" s="106">
        <f>SUBTOTAL(109,Tabel1[[stk 5 dage buffer ]])</f>
        <v>33042.25</v>
      </c>
      <c r="L192" s="130"/>
      <c r="M192" s="130"/>
      <c r="N192" s="98"/>
      <c r="O192" s="106">
        <f>SUBTOTAL(109,Tabel1[Investering])</f>
        <v>882639.20250000001</v>
      </c>
      <c r="P192" s="106"/>
      <c r="Q192" s="98"/>
      <c r="R192" s="98"/>
      <c r="S192" s="110">
        <f>SUBTOTAL(109,Tabel1[antal containere])</f>
        <v>253.31284523809518</v>
      </c>
      <c r="T192" s="110">
        <f>SUBTOTAL(109,Tabel1[plads behov m2])</f>
        <v>141.85519333333335</v>
      </c>
    </row>
    <row r="236" spans="2:3" x14ac:dyDescent="0.25">
      <c r="B236" t="s">
        <v>473</v>
      </c>
      <c r="C236" t="s">
        <v>474</v>
      </c>
    </row>
    <row r="237" spans="2:3" x14ac:dyDescent="0.25">
      <c r="B237" t="s">
        <v>475</v>
      </c>
    </row>
    <row r="238" spans="2:3" x14ac:dyDescent="0.25">
      <c r="B238" t="s">
        <v>476</v>
      </c>
    </row>
    <row r="239" spans="2:3" x14ac:dyDescent="0.25">
      <c r="B239" t="s">
        <v>477</v>
      </c>
    </row>
    <row r="241" spans="2:2" x14ac:dyDescent="0.25">
      <c r="B241" s="24" t="s">
        <v>485</v>
      </c>
    </row>
  </sheetData>
  <autoFilter ref="A6" xr:uid="{069A043E-64C3-4040-B874-32F64E211489}"/>
  <phoneticPr fontId="12" type="noConversion"/>
  <conditionalFormatting sqref="A8:A191">
    <cfRule type="cellIs" dxfId="3" priority="1" operator="equal">
      <formula>"nej"</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AC8E-0A93-4E1C-B084-3DFE840AF9E2}">
  <dimension ref="A1:R186"/>
  <sheetViews>
    <sheetView workbookViewId="0"/>
  </sheetViews>
  <sheetFormatPr defaultRowHeight="15" x14ac:dyDescent="0.25"/>
  <cols>
    <col min="1" max="1" width="30.140625" customWidth="1"/>
    <col min="2" max="2" width="11.42578125" customWidth="1"/>
    <col min="3" max="3" width="62.5703125" bestFit="1" customWidth="1"/>
    <col min="4" max="4" width="62.5703125" customWidth="1"/>
    <col min="5" max="5" width="16.5703125" bestFit="1" customWidth="1"/>
    <col min="6" max="6" width="14" customWidth="1"/>
    <col min="7" max="7" width="20.42578125" customWidth="1"/>
    <col min="8" max="8" width="11.42578125" customWidth="1"/>
    <col min="9" max="9" width="12.85546875" style="40" customWidth="1"/>
    <col min="10" max="10" width="14.85546875" customWidth="1"/>
    <col min="14" max="14" width="21.85546875" customWidth="1"/>
  </cols>
  <sheetData>
    <row r="1" spans="1:18" x14ac:dyDescent="0.25">
      <c r="E1" s="24" t="s">
        <v>198</v>
      </c>
      <c r="F1">
        <v>5</v>
      </c>
    </row>
    <row r="2" spans="1:18" x14ac:dyDescent="0.25">
      <c r="E2" s="24" t="s">
        <v>212</v>
      </c>
      <c r="F2">
        <v>20</v>
      </c>
      <c r="I2" s="46" t="s">
        <v>211</v>
      </c>
      <c r="N2">
        <v>1</v>
      </c>
      <c r="O2" t="s">
        <v>293</v>
      </c>
    </row>
    <row r="3" spans="1:18" ht="44.1" customHeight="1" x14ac:dyDescent="0.25">
      <c r="A3" s="1"/>
      <c r="B3" s="62" t="s">
        <v>206</v>
      </c>
      <c r="C3" s="61" t="s">
        <v>213</v>
      </c>
      <c r="D3" s="61" t="s">
        <v>295</v>
      </c>
      <c r="E3" s="62" t="s">
        <v>214</v>
      </c>
      <c r="F3" s="63" t="s">
        <v>195</v>
      </c>
      <c r="G3" s="62" t="s">
        <v>215</v>
      </c>
      <c r="H3" s="62" t="s">
        <v>206</v>
      </c>
      <c r="I3" s="64" t="s">
        <v>209</v>
      </c>
      <c r="J3" s="62" t="s">
        <v>210</v>
      </c>
      <c r="K3" s="65" t="s">
        <v>290</v>
      </c>
      <c r="L3" s="65" t="s">
        <v>291</v>
      </c>
      <c r="M3" s="65" t="s">
        <v>292</v>
      </c>
      <c r="N3" s="65" t="s">
        <v>294</v>
      </c>
      <c r="Q3" s="40" t="s">
        <v>289</v>
      </c>
    </row>
    <row r="4" spans="1:18" ht="20.100000000000001" customHeight="1" x14ac:dyDescent="0.25">
      <c r="A4" s="1" t="s">
        <v>333</v>
      </c>
      <c r="B4" s="67" t="s">
        <v>199</v>
      </c>
      <c r="C4" s="66" t="s">
        <v>13</v>
      </c>
      <c r="D4" s="66"/>
      <c r="E4" s="67">
        <v>1705</v>
      </c>
      <c r="F4" s="68">
        <f t="shared" ref="F4:F35" si="0">+E4/+$F$2</f>
        <v>85.25</v>
      </c>
      <c r="G4" s="67">
        <f t="shared" ref="G4:G35" si="1">+F4*$F$1</f>
        <v>426.25</v>
      </c>
      <c r="H4" s="67" t="s">
        <v>199</v>
      </c>
      <c r="I4" s="69"/>
      <c r="J4" s="67">
        <f>+Tabel24[[#This Row],[stk 5 dage buffer ]]*Tabel24[[#This Row],[inkøbspris pr stk]]</f>
        <v>0</v>
      </c>
      <c r="K4" s="70"/>
      <c r="L4" s="70"/>
      <c r="M4" s="70"/>
      <c r="N4" s="72">
        <f>Tabel24[[#This Row],[antal containere]]*N1</f>
        <v>0</v>
      </c>
      <c r="Q4" s="40">
        <f>0.48*(0.5*1)</f>
        <v>0.24</v>
      </c>
      <c r="R4" s="27" t="s">
        <v>233</v>
      </c>
    </row>
    <row r="5" spans="1:18" ht="20.100000000000001" customHeight="1" x14ac:dyDescent="0.25">
      <c r="A5" s="1" t="s">
        <v>334</v>
      </c>
      <c r="B5" s="67" t="s">
        <v>200</v>
      </c>
      <c r="C5" s="66" t="s">
        <v>14</v>
      </c>
      <c r="D5" s="66" t="s">
        <v>332</v>
      </c>
      <c r="E5" s="67">
        <v>13754</v>
      </c>
      <c r="F5" s="68">
        <f t="shared" si="0"/>
        <v>687.7</v>
      </c>
      <c r="G5" s="67">
        <f t="shared" si="1"/>
        <v>3438.5</v>
      </c>
      <c r="H5" s="67" t="s">
        <v>200</v>
      </c>
      <c r="I5" s="69">
        <v>90</v>
      </c>
      <c r="J5" s="67">
        <f>+Tabel24[[#This Row],[stk 5 dage buffer ]]*Tabel24[[#This Row],[inkøbspris pr stk]]</f>
        <v>309465</v>
      </c>
      <c r="K5" s="70">
        <v>0.99</v>
      </c>
      <c r="L5" s="70">
        <v>100</v>
      </c>
      <c r="M5" s="71">
        <f>Tabel24[[#This Row],[stk 5 dage buffer ]]/Tabel24[[#This Row],[stk pr container]]</f>
        <v>34.384999999999998</v>
      </c>
      <c r="N5" s="72">
        <f>Tabel24[[#This Row],[antal containere]]*N2</f>
        <v>34.384999999999998</v>
      </c>
      <c r="Q5" s="40">
        <f>0.48*(0.7*1.4)</f>
        <v>0.47039999999999993</v>
      </c>
      <c r="R5" s="30" t="s">
        <v>239</v>
      </c>
    </row>
    <row r="6" spans="1:18" ht="20.100000000000001" customHeight="1" x14ac:dyDescent="0.25">
      <c r="A6" s="89" t="s">
        <v>335</v>
      </c>
      <c r="B6" s="67" t="s">
        <v>201</v>
      </c>
      <c r="C6" s="66" t="s">
        <v>15</v>
      </c>
      <c r="D6" s="66" t="s">
        <v>297</v>
      </c>
      <c r="E6" s="67">
        <v>999</v>
      </c>
      <c r="F6" s="68">
        <f t="shared" si="0"/>
        <v>49.95</v>
      </c>
      <c r="G6" s="67">
        <f t="shared" si="1"/>
        <v>249.75</v>
      </c>
      <c r="H6" s="67" t="s">
        <v>201</v>
      </c>
      <c r="I6" s="69"/>
      <c r="J6" s="67">
        <f>+Tabel24[[#This Row],[stk 5 dage buffer ]]*Tabel24[[#This Row],[inkøbspris pr stk]]</f>
        <v>0</v>
      </c>
      <c r="K6" s="70"/>
      <c r="L6" s="70"/>
      <c r="M6" s="71"/>
      <c r="N6" s="72" t="e">
        <f>Tabel24[[#This Row],[antal containere]]*N3</f>
        <v>#VALUE!</v>
      </c>
      <c r="Q6" s="40">
        <f>0.48*(1*1.5)</f>
        <v>0.72</v>
      </c>
      <c r="R6" s="27" t="s">
        <v>242</v>
      </c>
    </row>
    <row r="7" spans="1:18" ht="20.100000000000001" customHeight="1" x14ac:dyDescent="0.25">
      <c r="A7" s="1" t="s">
        <v>336</v>
      </c>
      <c r="B7" s="67" t="s">
        <v>202</v>
      </c>
      <c r="C7" s="66" t="s">
        <v>16</v>
      </c>
      <c r="D7" s="66" t="s">
        <v>329</v>
      </c>
      <c r="E7" s="67">
        <v>17100</v>
      </c>
      <c r="F7" s="68">
        <f t="shared" si="0"/>
        <v>855</v>
      </c>
      <c r="G7" s="67">
        <f t="shared" si="1"/>
        <v>4275</v>
      </c>
      <c r="H7" s="67" t="s">
        <v>202</v>
      </c>
      <c r="I7" s="69"/>
      <c r="J7" s="67">
        <f>+Tabel24[[#This Row],[stk 5 dage buffer ]]*Tabel24[[#This Row],[inkøbspris pr stk]]</f>
        <v>0</v>
      </c>
      <c r="K7" s="70"/>
      <c r="L7" s="70"/>
      <c r="M7" s="70"/>
      <c r="N7" s="72">
        <f>Tabel24[[#This Row],[antal containere]]*N4</f>
        <v>0</v>
      </c>
      <c r="Q7" s="40">
        <f>0.48*(0.3*0.3)</f>
        <v>4.3199999999999995E-2</v>
      </c>
      <c r="R7" s="27" t="s">
        <v>245</v>
      </c>
    </row>
    <row r="8" spans="1:18" ht="20.100000000000001" customHeight="1" x14ac:dyDescent="0.25">
      <c r="A8" s="1" t="s">
        <v>330</v>
      </c>
      <c r="B8" s="67" t="s">
        <v>202</v>
      </c>
      <c r="C8" s="66" t="s">
        <v>17</v>
      </c>
      <c r="D8" s="66" t="s">
        <v>330</v>
      </c>
      <c r="E8" s="67">
        <v>13440</v>
      </c>
      <c r="F8" s="68">
        <f t="shared" si="0"/>
        <v>672</v>
      </c>
      <c r="G8" s="67">
        <f t="shared" si="1"/>
        <v>3360</v>
      </c>
      <c r="H8" s="67" t="s">
        <v>202</v>
      </c>
      <c r="I8" s="69"/>
      <c r="J8" s="67">
        <f>+Tabel24[[#This Row],[stk 5 dage buffer ]]*Tabel24[[#This Row],[inkøbspris pr stk]]</f>
        <v>0</v>
      </c>
      <c r="K8" s="70"/>
      <c r="L8" s="70"/>
      <c r="M8" s="70"/>
      <c r="N8" s="72">
        <f>Tabel24[[#This Row],[antal containere]]*N5</f>
        <v>0</v>
      </c>
      <c r="Q8" s="40">
        <f>0.68*(0.5*0.7)</f>
        <v>0.23799999999999999</v>
      </c>
      <c r="R8" s="28" t="s">
        <v>251</v>
      </c>
    </row>
    <row r="9" spans="1:18" ht="20.100000000000001" customHeight="1" x14ac:dyDescent="0.25">
      <c r="A9" s="1"/>
      <c r="B9" s="67" t="s">
        <v>200</v>
      </c>
      <c r="C9" s="66" t="s">
        <v>18</v>
      </c>
      <c r="D9" s="66" t="s">
        <v>299</v>
      </c>
      <c r="E9" s="67">
        <v>3154</v>
      </c>
      <c r="F9" s="68">
        <f t="shared" si="0"/>
        <v>157.69999999999999</v>
      </c>
      <c r="G9" s="67">
        <f t="shared" si="1"/>
        <v>788.5</v>
      </c>
      <c r="H9" s="67" t="s">
        <v>200</v>
      </c>
      <c r="I9" s="69"/>
      <c r="J9" s="67">
        <f>+Tabel24[[#This Row],[stk 5 dage buffer ]]*Tabel24[[#This Row],[inkøbspris pr stk]]</f>
        <v>0</v>
      </c>
      <c r="K9" s="70"/>
      <c r="L9" s="70"/>
      <c r="M9" s="70"/>
      <c r="N9" s="72" t="e">
        <f>Tabel24[[#This Row],[antal containere]]*N6</f>
        <v>#VALUE!</v>
      </c>
      <c r="Q9" s="40">
        <f>0.14*(1.6*2.9)</f>
        <v>0.64960000000000007</v>
      </c>
      <c r="R9" s="33" t="s">
        <v>256</v>
      </c>
    </row>
    <row r="10" spans="1:18" ht="20.100000000000001" customHeight="1" x14ac:dyDescent="0.25">
      <c r="A10" s="1" t="s">
        <v>337</v>
      </c>
      <c r="B10" s="67" t="s">
        <v>202</v>
      </c>
      <c r="C10" s="66" t="s">
        <v>19</v>
      </c>
      <c r="D10" s="66" t="s">
        <v>331</v>
      </c>
      <c r="E10" s="67">
        <v>16890</v>
      </c>
      <c r="F10" s="68">
        <f t="shared" si="0"/>
        <v>844.5</v>
      </c>
      <c r="G10" s="67">
        <f t="shared" si="1"/>
        <v>4222.5</v>
      </c>
      <c r="H10" s="67" t="s">
        <v>202</v>
      </c>
      <c r="I10" s="69"/>
      <c r="J10" s="67">
        <f>+Tabel24[[#This Row],[stk 5 dage buffer ]]*Tabel24[[#This Row],[inkøbspris pr stk]]</f>
        <v>0</v>
      </c>
      <c r="K10" s="70"/>
      <c r="L10" s="70"/>
      <c r="M10" s="70"/>
      <c r="N10" s="72">
        <f>Tabel24[[#This Row],[antal containere]]*N7</f>
        <v>0</v>
      </c>
      <c r="Q10" s="40">
        <f>0.14*(2.4*2.9)</f>
        <v>0.97440000000000004</v>
      </c>
      <c r="R10" s="33" t="s">
        <v>261</v>
      </c>
    </row>
    <row r="11" spans="1:18" ht="20.100000000000001" customHeight="1" x14ac:dyDescent="0.25">
      <c r="A11" s="89" t="s">
        <v>338</v>
      </c>
      <c r="B11" s="67" t="s">
        <v>200</v>
      </c>
      <c r="C11" s="66" t="s">
        <v>20</v>
      </c>
      <c r="D11" s="66" t="s">
        <v>300</v>
      </c>
      <c r="E11" s="67">
        <v>9254</v>
      </c>
      <c r="F11" s="68">
        <f t="shared" si="0"/>
        <v>462.7</v>
      </c>
      <c r="G11" s="67">
        <f t="shared" si="1"/>
        <v>2313.5</v>
      </c>
      <c r="H11" s="67" t="s">
        <v>200</v>
      </c>
      <c r="I11" s="76"/>
      <c r="J11" s="67">
        <f>+Tabel24[[#This Row],[stk 5 dage buffer ]]*Tabel24[[#This Row],[inkøbspris pr stk]]</f>
        <v>0</v>
      </c>
      <c r="K11" s="69">
        <v>0.47</v>
      </c>
      <c r="L11" s="70">
        <v>60</v>
      </c>
      <c r="M11" s="70"/>
      <c r="N11" s="72">
        <f>Tabel24[[#This Row],[antal containere]]*N8</f>
        <v>0</v>
      </c>
      <c r="Q11" s="40">
        <f>0.14*(2.8*3)</f>
        <v>1.1759999999999999</v>
      </c>
      <c r="R11" s="33" t="s">
        <v>263</v>
      </c>
    </row>
    <row r="12" spans="1:18" ht="20.100000000000001" customHeight="1" x14ac:dyDescent="0.25">
      <c r="A12" s="89" t="s">
        <v>339</v>
      </c>
      <c r="B12" s="67" t="s">
        <v>200</v>
      </c>
      <c r="C12" s="66" t="s">
        <v>21</v>
      </c>
      <c r="D12" s="66" t="s">
        <v>301</v>
      </c>
      <c r="E12" s="67">
        <v>9578</v>
      </c>
      <c r="F12" s="68">
        <f t="shared" si="0"/>
        <v>478.9</v>
      </c>
      <c r="G12" s="67">
        <f t="shared" si="1"/>
        <v>2394.5</v>
      </c>
      <c r="H12" s="67" t="s">
        <v>200</v>
      </c>
      <c r="I12" s="45"/>
      <c r="J12" s="67">
        <f>+Tabel24[[#This Row],[stk 5 dage buffer ]]*Tabel24[[#This Row],[inkøbspris pr stk]]</f>
        <v>0</v>
      </c>
      <c r="K12" s="69">
        <v>0.24</v>
      </c>
      <c r="L12" s="70">
        <v>120</v>
      </c>
      <c r="M12" s="70"/>
      <c r="N12" s="72" t="e">
        <f>Tabel24[[#This Row],[antal containere]]*N9</f>
        <v>#VALUE!</v>
      </c>
      <c r="Q12" s="40">
        <f>0.15*(1.4*2.35*2)</f>
        <v>0.98699999999999999</v>
      </c>
      <c r="R12" s="33" t="s">
        <v>264</v>
      </c>
    </row>
    <row r="13" spans="1:18" ht="20.100000000000001" customHeight="1" x14ac:dyDescent="0.25">
      <c r="A13" s="1" t="s">
        <v>340</v>
      </c>
      <c r="B13" s="67" t="s">
        <v>200</v>
      </c>
      <c r="C13" s="66" t="s">
        <v>22</v>
      </c>
      <c r="D13" s="66" t="s">
        <v>302</v>
      </c>
      <c r="E13" s="67">
        <v>9269</v>
      </c>
      <c r="F13" s="68">
        <f t="shared" si="0"/>
        <v>463.45</v>
      </c>
      <c r="G13" s="67">
        <f t="shared" si="1"/>
        <v>2317.25</v>
      </c>
      <c r="H13" s="67" t="s">
        <v>200</v>
      </c>
      <c r="I13" s="69">
        <v>38</v>
      </c>
      <c r="J13" s="67">
        <f>+Tabel24[[#This Row],[stk 5 dage buffer ]]*Tabel24[[#This Row],[inkøbspris pr stk]]</f>
        <v>88055.5</v>
      </c>
      <c r="K13" s="70">
        <v>0.65</v>
      </c>
      <c r="L13" s="70"/>
      <c r="M13" s="70"/>
      <c r="N13" s="72">
        <f>Tabel24[[#This Row],[antal containere]]*N10</f>
        <v>0</v>
      </c>
      <c r="Q13" s="40">
        <f>0.15*(0.75*1.15*2)</f>
        <v>0.25874999999999998</v>
      </c>
      <c r="R13" s="33" t="s">
        <v>268</v>
      </c>
    </row>
    <row r="14" spans="1:18" ht="20.100000000000001" customHeight="1" x14ac:dyDescent="0.25">
      <c r="A14" s="1" t="s">
        <v>341</v>
      </c>
      <c r="B14" s="67" t="s">
        <v>202</v>
      </c>
      <c r="C14" s="66" t="s">
        <v>23</v>
      </c>
      <c r="D14" s="66" t="s">
        <v>303</v>
      </c>
      <c r="E14" s="67">
        <v>202</v>
      </c>
      <c r="F14" s="68">
        <f t="shared" si="0"/>
        <v>10.1</v>
      </c>
      <c r="G14" s="67">
        <f t="shared" si="1"/>
        <v>50.5</v>
      </c>
      <c r="H14" s="67" t="s">
        <v>202</v>
      </c>
      <c r="I14" s="69"/>
      <c r="J14" s="67">
        <f>+Tabel24[[#This Row],[stk 5 dage buffer ]]*Tabel24[[#This Row],[inkøbspris pr stk]]</f>
        <v>0</v>
      </c>
      <c r="K14" s="70"/>
      <c r="L14" s="70"/>
      <c r="M14" s="70"/>
      <c r="N14" s="72">
        <f>Tabel24[[#This Row],[antal containere]]*N11</f>
        <v>0</v>
      </c>
      <c r="Q14" s="40">
        <f>0.15*(0.65*0.8*2)</f>
        <v>0.156</v>
      </c>
      <c r="R14" s="33" t="s">
        <v>270</v>
      </c>
    </row>
    <row r="15" spans="1:18" s="86" customFormat="1" ht="20.100000000000001" customHeight="1" x14ac:dyDescent="0.25">
      <c r="A15" s="78" t="s">
        <v>342</v>
      </c>
      <c r="B15" s="80" t="s">
        <v>200</v>
      </c>
      <c r="C15" s="79" t="s">
        <v>24</v>
      </c>
      <c r="D15" s="79" t="s">
        <v>303</v>
      </c>
      <c r="E15" s="80">
        <v>7</v>
      </c>
      <c r="F15" s="81">
        <f t="shared" si="0"/>
        <v>0.35</v>
      </c>
      <c r="G15" s="80">
        <f t="shared" si="1"/>
        <v>1.75</v>
      </c>
      <c r="H15" s="80" t="s">
        <v>200</v>
      </c>
      <c r="I15" s="82"/>
      <c r="J15" s="80">
        <f>+Tabel24[[#This Row],[stk 5 dage buffer ]]*Tabel24[[#This Row],[inkøbspris pr stk]]</f>
        <v>0</v>
      </c>
      <c r="K15" s="83"/>
      <c r="L15" s="84">
        <v>0.72</v>
      </c>
      <c r="M15" s="83"/>
      <c r="N15" s="85" t="e">
        <f>Tabel24[[#This Row],[antal containere]]*N12</f>
        <v>#VALUE!</v>
      </c>
      <c r="Q15" s="87">
        <f>0.215*(1.37*1.45)</f>
        <v>0.42709750000000002</v>
      </c>
      <c r="R15" s="88" t="s">
        <v>272</v>
      </c>
    </row>
    <row r="16" spans="1:18" ht="20.100000000000001" customHeight="1" x14ac:dyDescent="0.25">
      <c r="A16" s="78" t="s">
        <v>342</v>
      </c>
      <c r="B16" s="67" t="s">
        <v>203</v>
      </c>
      <c r="C16" s="66" t="s">
        <v>25</v>
      </c>
      <c r="D16" s="66" t="s">
        <v>315</v>
      </c>
      <c r="E16" s="67">
        <v>120</v>
      </c>
      <c r="F16" s="68">
        <f t="shared" si="0"/>
        <v>6</v>
      </c>
      <c r="G16" s="67">
        <f t="shared" si="1"/>
        <v>30</v>
      </c>
      <c r="H16" s="67" t="s">
        <v>203</v>
      </c>
      <c r="I16" s="69"/>
      <c r="J16" s="67">
        <f>+Tabel24[[#This Row],[stk 5 dage buffer ]]*Tabel24[[#This Row],[inkøbspris pr stk]]</f>
        <v>0</v>
      </c>
      <c r="K16" s="70"/>
      <c r="L16" s="70"/>
      <c r="M16" s="70"/>
      <c r="N16" s="72">
        <f>Tabel24[[#This Row],[antal containere]]*N13</f>
        <v>0</v>
      </c>
      <c r="Q16" s="40">
        <f>0.215*(1.37*1.9)</f>
        <v>0.55964500000000006</v>
      </c>
      <c r="R16" s="37" t="s">
        <v>277</v>
      </c>
    </row>
    <row r="17" spans="1:18" ht="20.100000000000001" customHeight="1" x14ac:dyDescent="0.25">
      <c r="A17" s="1" t="s">
        <v>343</v>
      </c>
      <c r="B17" s="67" t="s">
        <v>202</v>
      </c>
      <c r="C17" s="66" t="s">
        <v>26</v>
      </c>
      <c r="D17" s="66"/>
      <c r="E17" s="67">
        <v>22150</v>
      </c>
      <c r="F17" s="68">
        <f t="shared" si="0"/>
        <v>1107.5</v>
      </c>
      <c r="G17" s="67">
        <f t="shared" si="1"/>
        <v>5537.5</v>
      </c>
      <c r="H17" s="67" t="s">
        <v>202</v>
      </c>
      <c r="I17" s="69"/>
      <c r="J17" s="67">
        <f>+Tabel24[[#This Row],[stk 5 dage buffer ]]*Tabel24[[#This Row],[inkøbspris pr stk]]</f>
        <v>0</v>
      </c>
      <c r="K17" s="70"/>
      <c r="L17" s="70"/>
      <c r="M17" s="70"/>
      <c r="N17" s="72">
        <f>Tabel24[[#This Row],[antal containere]]*N14</f>
        <v>0</v>
      </c>
      <c r="Q17" s="40">
        <f>0.215*(1.37*2.35)</f>
        <v>0.6921925000000001</v>
      </c>
      <c r="R17" s="37" t="s">
        <v>279</v>
      </c>
    </row>
    <row r="18" spans="1:18" ht="20.100000000000001" customHeight="1" x14ac:dyDescent="0.25">
      <c r="A18" s="1"/>
      <c r="B18" s="67" t="s">
        <v>202</v>
      </c>
      <c r="C18" s="66" t="s">
        <v>27</v>
      </c>
      <c r="D18" s="66"/>
      <c r="E18" s="67">
        <v>650</v>
      </c>
      <c r="F18" s="68">
        <f t="shared" si="0"/>
        <v>32.5</v>
      </c>
      <c r="G18" s="67">
        <f t="shared" si="1"/>
        <v>162.5</v>
      </c>
      <c r="H18" s="67" t="s">
        <v>202</v>
      </c>
      <c r="I18" s="69"/>
      <c r="J18" s="67">
        <f>+Tabel24[[#This Row],[stk 5 dage buffer ]]*Tabel24[[#This Row],[inkøbspris pr stk]]</f>
        <v>0</v>
      </c>
      <c r="K18" s="70"/>
      <c r="L18" s="70"/>
      <c r="M18" s="70"/>
      <c r="N18" s="72" t="e">
        <f>Tabel24[[#This Row],[antal containere]]*N15</f>
        <v>#VALUE!</v>
      </c>
      <c r="Q18" s="40">
        <f>0.215*(0.5*0.53)</f>
        <v>5.6975000000000005E-2</v>
      </c>
      <c r="R18" s="37" t="s">
        <v>281</v>
      </c>
    </row>
    <row r="19" spans="1:18" ht="20.100000000000001" customHeight="1" x14ac:dyDescent="0.25">
      <c r="A19" s="78" t="s">
        <v>344</v>
      </c>
      <c r="B19" s="67" t="s">
        <v>200</v>
      </c>
      <c r="C19" s="66" t="s">
        <v>28</v>
      </c>
      <c r="D19" s="66" t="s">
        <v>304</v>
      </c>
      <c r="E19" s="67">
        <v>347</v>
      </c>
      <c r="F19" s="68">
        <f t="shared" si="0"/>
        <v>17.350000000000001</v>
      </c>
      <c r="G19" s="67">
        <f t="shared" si="1"/>
        <v>86.75</v>
      </c>
      <c r="H19" s="67" t="s">
        <v>200</v>
      </c>
      <c r="I19" s="69"/>
      <c r="J19" s="67">
        <f>+Tabel24[[#This Row],[stk 5 dage buffer ]]*Tabel24[[#This Row],[inkøbspris pr stk]]</f>
        <v>0</v>
      </c>
      <c r="K19" s="70"/>
      <c r="L19" s="70">
        <v>0.72</v>
      </c>
      <c r="M19" s="70"/>
      <c r="N19" s="72">
        <f>Tabel24[[#This Row],[antal containere]]*N16</f>
        <v>0</v>
      </c>
    </row>
    <row r="20" spans="1:18" ht="20.100000000000001" customHeight="1" x14ac:dyDescent="0.25">
      <c r="A20" s="1" t="s">
        <v>345</v>
      </c>
      <c r="B20" s="67" t="s">
        <v>200</v>
      </c>
      <c r="C20" s="66" t="s">
        <v>29</v>
      </c>
      <c r="D20" s="66" t="s">
        <v>305</v>
      </c>
      <c r="E20" s="67">
        <v>8016</v>
      </c>
      <c r="F20" s="68">
        <f t="shared" si="0"/>
        <v>400.8</v>
      </c>
      <c r="G20" s="67">
        <f t="shared" si="1"/>
        <v>2004</v>
      </c>
      <c r="H20" s="67" t="s">
        <v>200</v>
      </c>
      <c r="I20" s="69"/>
      <c r="J20" s="67">
        <f>+Tabel24[[#This Row],[stk 5 dage buffer ]]*Tabel24[[#This Row],[inkøbspris pr stk]]</f>
        <v>0</v>
      </c>
      <c r="K20" s="70"/>
      <c r="L20" s="70"/>
      <c r="M20" s="70"/>
      <c r="N20" s="72">
        <f>Tabel24[[#This Row],[antal containere]]*N17</f>
        <v>0</v>
      </c>
    </row>
    <row r="21" spans="1:18" ht="20.100000000000001" customHeight="1" x14ac:dyDescent="0.25">
      <c r="A21" s="1" t="s">
        <v>346</v>
      </c>
      <c r="B21" s="67" t="s">
        <v>200</v>
      </c>
      <c r="C21" s="66" t="s">
        <v>30</v>
      </c>
      <c r="D21" s="66" t="s">
        <v>306</v>
      </c>
      <c r="E21" s="67">
        <v>19633</v>
      </c>
      <c r="F21" s="68">
        <f t="shared" si="0"/>
        <v>981.65</v>
      </c>
      <c r="G21" s="67">
        <f t="shared" si="1"/>
        <v>4908.25</v>
      </c>
      <c r="H21" s="67" t="s">
        <v>200</v>
      </c>
      <c r="I21" s="69"/>
      <c r="J21" s="67">
        <f>+Tabel24[[#This Row],[stk 5 dage buffer ]]*Tabel24[[#This Row],[inkøbspris pr stk]]</f>
        <v>0</v>
      </c>
      <c r="K21" s="70"/>
      <c r="L21" s="70"/>
      <c r="M21" s="70"/>
      <c r="N21" s="72" t="e">
        <f>Tabel24[[#This Row],[antal containere]]*N18</f>
        <v>#VALUE!</v>
      </c>
    </row>
    <row r="22" spans="1:18" ht="20.100000000000001" customHeight="1" x14ac:dyDescent="0.25">
      <c r="A22" s="78" t="s">
        <v>347</v>
      </c>
      <c r="B22" s="67" t="s">
        <v>200</v>
      </c>
      <c r="C22" s="66" t="s">
        <v>31</v>
      </c>
      <c r="D22" s="66" t="s">
        <v>307</v>
      </c>
      <c r="E22" s="67">
        <v>267</v>
      </c>
      <c r="F22" s="68">
        <f t="shared" si="0"/>
        <v>13.35</v>
      </c>
      <c r="G22" s="67">
        <f t="shared" si="1"/>
        <v>66.75</v>
      </c>
      <c r="H22" s="67" t="s">
        <v>200</v>
      </c>
      <c r="I22" s="69"/>
      <c r="J22" s="67">
        <f>+Tabel24[[#This Row],[stk 5 dage buffer ]]*Tabel24[[#This Row],[inkøbspris pr stk]]</f>
        <v>0</v>
      </c>
      <c r="K22" s="70"/>
      <c r="L22" s="70"/>
      <c r="M22" s="70"/>
      <c r="N22" s="72">
        <f>Tabel24[[#This Row],[antal containere]]*N19</f>
        <v>0</v>
      </c>
    </row>
    <row r="23" spans="1:18" ht="20.100000000000001" customHeight="1" x14ac:dyDescent="0.25">
      <c r="A23" s="1"/>
      <c r="B23" s="50" t="s">
        <v>204</v>
      </c>
      <c r="C23" s="47" t="s">
        <v>38</v>
      </c>
      <c r="D23" s="47"/>
      <c r="E23" s="48"/>
      <c r="F23" s="49">
        <f t="shared" si="0"/>
        <v>0</v>
      </c>
      <c r="G23" s="50">
        <f t="shared" si="1"/>
        <v>0</v>
      </c>
      <c r="H23" s="50" t="s">
        <v>204</v>
      </c>
      <c r="I23" s="51"/>
      <c r="J23" s="50">
        <f>+Tabel24[[#This Row],[stk 5 dage buffer ]]*Tabel24[[#This Row],[inkøbspris pr stk]]</f>
        <v>0</v>
      </c>
      <c r="K23" s="41"/>
      <c r="L23" s="41"/>
      <c r="M23" s="41" t="e">
        <f>Tabel24[[#This Row],[Investering]]/Tabel24[[#This Row],[stk pr container]]</f>
        <v>#DIV/0!</v>
      </c>
      <c r="N23" s="42" t="e">
        <f>Tabel24[[#This Row],[antal containere]]*N20</f>
        <v>#DIV/0!</v>
      </c>
    </row>
    <row r="24" spans="1:18" ht="20.100000000000001" customHeight="1" x14ac:dyDescent="0.25">
      <c r="A24" s="1" t="s">
        <v>348</v>
      </c>
      <c r="B24" s="67" t="s">
        <v>200</v>
      </c>
      <c r="C24" s="66" t="s">
        <v>32</v>
      </c>
      <c r="D24" s="66" t="s">
        <v>308</v>
      </c>
      <c r="E24" s="67">
        <v>12330</v>
      </c>
      <c r="F24" s="68">
        <f t="shared" si="0"/>
        <v>616.5</v>
      </c>
      <c r="G24" s="67">
        <f t="shared" si="1"/>
        <v>3082.5</v>
      </c>
      <c r="H24" s="67" t="s">
        <v>200</v>
      </c>
      <c r="I24" s="69"/>
      <c r="J24" s="67">
        <f>+Tabel24[[#This Row],[stk 5 dage buffer ]]*Tabel24[[#This Row],[inkøbspris pr stk]]</f>
        <v>0</v>
      </c>
      <c r="K24" s="70"/>
      <c r="L24" s="70"/>
      <c r="M24" s="70"/>
      <c r="N24" s="72" t="e">
        <f>Tabel24[[#This Row],[antal containere]]*N21</f>
        <v>#VALUE!</v>
      </c>
    </row>
    <row r="25" spans="1:18" ht="20.100000000000001" customHeight="1" x14ac:dyDescent="0.25">
      <c r="A25" s="78" t="s">
        <v>342</v>
      </c>
      <c r="B25" s="67" t="s">
        <v>200</v>
      </c>
      <c r="C25" s="66" t="s">
        <v>33</v>
      </c>
      <c r="D25" s="66" t="s">
        <v>299</v>
      </c>
      <c r="E25" s="67">
        <v>20</v>
      </c>
      <c r="F25" s="68">
        <f t="shared" si="0"/>
        <v>1</v>
      </c>
      <c r="G25" s="67">
        <f t="shared" si="1"/>
        <v>5</v>
      </c>
      <c r="H25" s="67" t="s">
        <v>200</v>
      </c>
      <c r="I25" s="69"/>
      <c r="J25" s="67">
        <f>+Tabel24[[#This Row],[stk 5 dage buffer ]]*Tabel24[[#This Row],[inkøbspris pr stk]]</f>
        <v>0</v>
      </c>
      <c r="K25" s="70"/>
      <c r="L25" s="70"/>
      <c r="M25" s="70"/>
      <c r="N25" s="72">
        <f>Tabel24[[#This Row],[antal containere]]*N22</f>
        <v>0</v>
      </c>
    </row>
    <row r="26" spans="1:18" ht="20.100000000000001" customHeight="1" x14ac:dyDescent="0.25">
      <c r="A26" s="1" t="s">
        <v>309</v>
      </c>
      <c r="B26" s="67" t="s">
        <v>200</v>
      </c>
      <c r="C26" s="66" t="s">
        <v>34</v>
      </c>
      <c r="D26" s="66" t="s">
        <v>309</v>
      </c>
      <c r="E26" s="67">
        <v>3616</v>
      </c>
      <c r="F26" s="68">
        <f t="shared" si="0"/>
        <v>180.8</v>
      </c>
      <c r="G26" s="67">
        <f t="shared" si="1"/>
        <v>904</v>
      </c>
      <c r="H26" s="67" t="s">
        <v>200</v>
      </c>
      <c r="I26" s="69"/>
      <c r="J26" s="67">
        <f>+Tabel24[[#This Row],[stk 5 dage buffer ]]*Tabel24[[#This Row],[inkøbspris pr stk]]</f>
        <v>0</v>
      </c>
      <c r="K26" s="70"/>
      <c r="L26" s="70"/>
      <c r="M26" s="70"/>
      <c r="N26" s="72" t="e">
        <f>Tabel24[[#This Row],[antal containere]]*N23</f>
        <v>#DIV/0!</v>
      </c>
    </row>
    <row r="27" spans="1:18" ht="20.100000000000001" customHeight="1" x14ac:dyDescent="0.25">
      <c r="A27" s="1" t="s">
        <v>349</v>
      </c>
      <c r="B27" s="67" t="s">
        <v>204</v>
      </c>
      <c r="C27" s="66" t="s">
        <v>35</v>
      </c>
      <c r="D27" s="66" t="s">
        <v>310</v>
      </c>
      <c r="E27" s="67">
        <v>24190</v>
      </c>
      <c r="F27" s="68">
        <f t="shared" si="0"/>
        <v>1209.5</v>
      </c>
      <c r="G27" s="67">
        <f t="shared" si="1"/>
        <v>6047.5</v>
      </c>
      <c r="H27" s="67" t="s">
        <v>204</v>
      </c>
      <c r="I27" s="69"/>
      <c r="J27" s="67">
        <f>+Tabel24[[#This Row],[stk 5 dage buffer ]]*Tabel24[[#This Row],[inkøbspris pr stk]]</f>
        <v>0</v>
      </c>
      <c r="K27" s="70"/>
      <c r="L27" s="70"/>
      <c r="M27" s="70"/>
      <c r="N27" s="72" t="e">
        <f>Tabel24[[#This Row],[antal containere]]*N24</f>
        <v>#VALUE!</v>
      </c>
    </row>
    <row r="28" spans="1:18" ht="20.100000000000001" customHeight="1" x14ac:dyDescent="0.25">
      <c r="A28" s="78" t="s">
        <v>350</v>
      </c>
      <c r="B28" s="67" t="s">
        <v>204</v>
      </c>
      <c r="C28" s="66" t="s">
        <v>36</v>
      </c>
      <c r="D28" s="66" t="s">
        <v>311</v>
      </c>
      <c r="E28" s="67">
        <v>871</v>
      </c>
      <c r="F28" s="68">
        <f t="shared" si="0"/>
        <v>43.55</v>
      </c>
      <c r="G28" s="67">
        <f t="shared" si="1"/>
        <v>217.75</v>
      </c>
      <c r="H28" s="67" t="s">
        <v>204</v>
      </c>
      <c r="I28" s="69"/>
      <c r="J28" s="67">
        <f>+Tabel24[[#This Row],[stk 5 dage buffer ]]*Tabel24[[#This Row],[inkøbspris pr stk]]</f>
        <v>0</v>
      </c>
      <c r="K28" s="70"/>
      <c r="L28" s="70"/>
      <c r="M28" s="70"/>
      <c r="N28" s="72">
        <f>Tabel24[[#This Row],[antal containere]]*N25</f>
        <v>0</v>
      </c>
    </row>
    <row r="29" spans="1:18" ht="20.100000000000001" customHeight="1" x14ac:dyDescent="0.25">
      <c r="A29" s="78" t="s">
        <v>350</v>
      </c>
      <c r="B29" s="50" t="s">
        <v>204</v>
      </c>
      <c r="C29" s="47" t="s">
        <v>49</v>
      </c>
      <c r="D29" s="47"/>
      <c r="E29" s="48"/>
      <c r="F29" s="49">
        <f t="shared" si="0"/>
        <v>0</v>
      </c>
      <c r="G29" s="50">
        <f t="shared" si="1"/>
        <v>0</v>
      </c>
      <c r="H29" s="50" t="s">
        <v>204</v>
      </c>
      <c r="I29" s="51"/>
      <c r="J29" s="50">
        <f>+Tabel24[[#This Row],[stk 5 dage buffer ]]*Tabel24[[#This Row],[inkøbspris pr stk]]</f>
        <v>0</v>
      </c>
      <c r="K29" s="41"/>
      <c r="L29" s="41"/>
      <c r="M29" s="41" t="e">
        <f>Tabel24[[#This Row],[Investering]]/Tabel24[[#This Row],[stk pr container]]</f>
        <v>#DIV/0!</v>
      </c>
      <c r="N29" s="42" t="e">
        <f>Tabel24[[#This Row],[antal containere]]*N26</f>
        <v>#DIV/0!</v>
      </c>
    </row>
    <row r="30" spans="1:18" ht="20.100000000000001" customHeight="1" x14ac:dyDescent="0.25">
      <c r="A30" s="78" t="s">
        <v>350</v>
      </c>
      <c r="B30" s="67" t="s">
        <v>204</v>
      </c>
      <c r="C30" s="66" t="s">
        <v>37</v>
      </c>
      <c r="D30" s="66" t="s">
        <v>299</v>
      </c>
      <c r="E30" s="67">
        <v>334</v>
      </c>
      <c r="F30" s="68">
        <f t="shared" si="0"/>
        <v>16.7</v>
      </c>
      <c r="G30" s="67">
        <f t="shared" si="1"/>
        <v>83.5</v>
      </c>
      <c r="H30" s="67" t="s">
        <v>204</v>
      </c>
      <c r="I30" s="69"/>
      <c r="J30" s="67">
        <f>+Tabel24[[#This Row],[stk 5 dage buffer ]]*Tabel24[[#This Row],[inkøbspris pr stk]]</f>
        <v>0</v>
      </c>
      <c r="K30" s="70"/>
      <c r="L30" s="70"/>
      <c r="M30" s="70"/>
      <c r="N30" s="72" t="e">
        <f>Tabel24[[#This Row],[antal containere]]*N27</f>
        <v>#VALUE!</v>
      </c>
    </row>
    <row r="31" spans="1:18" ht="20.100000000000001" customHeight="1" x14ac:dyDescent="0.25">
      <c r="A31" s="78" t="s">
        <v>350</v>
      </c>
      <c r="B31" s="50" t="s">
        <v>204</v>
      </c>
      <c r="C31" s="47" t="s">
        <v>51</v>
      </c>
      <c r="D31" s="47"/>
      <c r="E31" s="48"/>
      <c r="F31" s="49">
        <f t="shared" si="0"/>
        <v>0</v>
      </c>
      <c r="G31" s="50">
        <f t="shared" si="1"/>
        <v>0</v>
      </c>
      <c r="H31" s="50" t="s">
        <v>204</v>
      </c>
      <c r="I31" s="51"/>
      <c r="J31" s="50">
        <f>+Tabel24[[#This Row],[stk 5 dage buffer ]]*Tabel24[[#This Row],[inkøbspris pr stk]]</f>
        <v>0</v>
      </c>
      <c r="K31" s="41"/>
      <c r="L31" s="41"/>
      <c r="M31" s="41" t="e">
        <f>Tabel24[[#This Row],[Investering]]/Tabel24[[#This Row],[stk pr container]]</f>
        <v>#DIV/0!</v>
      </c>
      <c r="N31" s="42" t="e">
        <f>Tabel24[[#This Row],[antal containere]]*N28</f>
        <v>#DIV/0!</v>
      </c>
    </row>
    <row r="32" spans="1:18" ht="20.100000000000001" customHeight="1" x14ac:dyDescent="0.25">
      <c r="A32" s="1" t="s">
        <v>351</v>
      </c>
      <c r="B32" s="73" t="s">
        <v>204</v>
      </c>
      <c r="C32" s="66" t="s">
        <v>39</v>
      </c>
      <c r="D32" s="66" t="s">
        <v>310</v>
      </c>
      <c r="E32" s="73">
        <v>119</v>
      </c>
      <c r="F32" s="74">
        <f t="shared" si="0"/>
        <v>5.95</v>
      </c>
      <c r="G32" s="73">
        <f t="shared" si="1"/>
        <v>29.75</v>
      </c>
      <c r="H32" s="73" t="s">
        <v>204</v>
      </c>
      <c r="I32" s="75"/>
      <c r="J32" s="73">
        <f>+Tabel24[[#This Row],[stk 5 dage buffer ]]*Tabel24[[#This Row],[inkøbspris pr stk]]</f>
        <v>0</v>
      </c>
      <c r="K32" s="70"/>
      <c r="L32" s="70"/>
      <c r="M32" s="70"/>
      <c r="N32" s="72" t="e">
        <f>Tabel24[[#This Row],[antal containere]]*N29</f>
        <v>#DIV/0!</v>
      </c>
    </row>
    <row r="33" spans="1:14" ht="20.100000000000001" customHeight="1" x14ac:dyDescent="0.25">
      <c r="A33" s="1" t="s">
        <v>342</v>
      </c>
      <c r="B33" s="73" t="s">
        <v>204</v>
      </c>
      <c r="C33" s="66" t="s">
        <v>40</v>
      </c>
      <c r="D33" s="66" t="s">
        <v>306</v>
      </c>
      <c r="E33" s="73">
        <v>3100</v>
      </c>
      <c r="F33" s="74">
        <f t="shared" si="0"/>
        <v>155</v>
      </c>
      <c r="G33" s="73">
        <f t="shared" si="1"/>
        <v>775</v>
      </c>
      <c r="H33" s="73" t="s">
        <v>204</v>
      </c>
      <c r="I33" s="75"/>
      <c r="J33" s="73">
        <f>+Tabel24[[#This Row],[stk 5 dage buffer ]]*Tabel24[[#This Row],[inkøbspris pr stk]]</f>
        <v>0</v>
      </c>
      <c r="K33" s="70"/>
      <c r="L33" s="70"/>
      <c r="M33" s="70"/>
      <c r="N33" s="72" t="e">
        <f>Tabel24[[#This Row],[antal containere]]*N30</f>
        <v>#VALUE!</v>
      </c>
    </row>
    <row r="34" spans="1:14" ht="20.100000000000001" customHeight="1" x14ac:dyDescent="0.25">
      <c r="A34" s="1" t="s">
        <v>352</v>
      </c>
      <c r="B34" s="73" t="s">
        <v>199</v>
      </c>
      <c r="C34" s="66" t="s">
        <v>41</v>
      </c>
      <c r="D34" s="66"/>
      <c r="E34" s="73">
        <v>2160</v>
      </c>
      <c r="F34" s="74">
        <f t="shared" si="0"/>
        <v>108</v>
      </c>
      <c r="G34" s="73">
        <f t="shared" si="1"/>
        <v>540</v>
      </c>
      <c r="H34" s="73" t="s">
        <v>199</v>
      </c>
      <c r="I34" s="75"/>
      <c r="J34" s="73">
        <f>+Tabel24[[#This Row],[stk 5 dage buffer ]]*Tabel24[[#This Row],[inkøbspris pr stk]]</f>
        <v>0</v>
      </c>
      <c r="K34" s="70"/>
      <c r="L34" s="70"/>
      <c r="M34" s="70"/>
      <c r="N34" s="72" t="e">
        <f>Tabel24[[#This Row],[antal containere]]*N31</f>
        <v>#DIV/0!</v>
      </c>
    </row>
    <row r="35" spans="1:14" ht="20.100000000000001" customHeight="1" x14ac:dyDescent="0.25">
      <c r="A35" s="1" t="s">
        <v>353</v>
      </c>
      <c r="B35" s="73" t="s">
        <v>204</v>
      </c>
      <c r="C35" s="66" t="s">
        <v>42</v>
      </c>
      <c r="D35" s="66" t="s">
        <v>312</v>
      </c>
      <c r="E35" s="73">
        <v>2154</v>
      </c>
      <c r="F35" s="74">
        <f t="shared" si="0"/>
        <v>107.7</v>
      </c>
      <c r="G35" s="73">
        <f t="shared" si="1"/>
        <v>538.5</v>
      </c>
      <c r="H35" s="73" t="s">
        <v>204</v>
      </c>
      <c r="I35" s="75"/>
      <c r="J35" s="73">
        <f>+Tabel24[[#This Row],[stk 5 dage buffer ]]*Tabel24[[#This Row],[inkøbspris pr stk]]</f>
        <v>0</v>
      </c>
      <c r="K35" s="70"/>
      <c r="L35" s="70"/>
      <c r="M35" s="70"/>
      <c r="N35" s="72" t="e">
        <f>Tabel24[[#This Row],[antal containere]]*N32</f>
        <v>#DIV/0!</v>
      </c>
    </row>
    <row r="36" spans="1:14" ht="20.100000000000001" customHeight="1" x14ac:dyDescent="0.25">
      <c r="A36" s="89" t="s">
        <v>354</v>
      </c>
      <c r="B36" s="73" t="s">
        <v>201</v>
      </c>
      <c r="C36" s="66" t="s">
        <v>43</v>
      </c>
      <c r="D36" s="66" t="s">
        <v>296</v>
      </c>
      <c r="E36" s="73">
        <v>43</v>
      </c>
      <c r="F36" s="74">
        <f t="shared" ref="F36:F67" si="2">+E36/+$F$2</f>
        <v>2.15</v>
      </c>
      <c r="G36" s="73">
        <f t="shared" ref="G36:G67" si="3">+F36*$F$1</f>
        <v>10.75</v>
      </c>
      <c r="H36" s="73" t="s">
        <v>201</v>
      </c>
      <c r="I36" s="75"/>
      <c r="J36" s="73">
        <f>+Tabel24[[#This Row],[stk 5 dage buffer ]]*Tabel24[[#This Row],[inkøbspris pr stk]]</f>
        <v>0</v>
      </c>
      <c r="K36" s="70"/>
      <c r="L36" s="70"/>
      <c r="M36" s="71"/>
      <c r="N36" s="72" t="e">
        <f>Tabel24[[#This Row],[antal containere]]*N33</f>
        <v>#VALUE!</v>
      </c>
    </row>
    <row r="37" spans="1:14" ht="20.100000000000001" customHeight="1" x14ac:dyDescent="0.25">
      <c r="A37" s="89" t="s">
        <v>354</v>
      </c>
      <c r="B37" s="73" t="s">
        <v>201</v>
      </c>
      <c r="C37" s="66" t="s">
        <v>44</v>
      </c>
      <c r="D37" s="66" t="s">
        <v>298</v>
      </c>
      <c r="E37" s="73">
        <v>1029</v>
      </c>
      <c r="F37" s="74">
        <f t="shared" si="2"/>
        <v>51.45</v>
      </c>
      <c r="G37" s="73">
        <f t="shared" si="3"/>
        <v>257.25</v>
      </c>
      <c r="H37" s="73" t="s">
        <v>201</v>
      </c>
      <c r="I37" s="75"/>
      <c r="J37" s="73">
        <f>+Tabel24[[#This Row],[stk 5 dage buffer ]]*Tabel24[[#This Row],[inkøbspris pr stk]]</f>
        <v>0</v>
      </c>
      <c r="K37" s="70"/>
      <c r="L37" s="70"/>
      <c r="M37" s="71"/>
      <c r="N37" s="72" t="e">
        <f>Tabel24[[#This Row],[antal containere]]*N34</f>
        <v>#DIV/0!</v>
      </c>
    </row>
    <row r="38" spans="1:14" ht="20.100000000000001" customHeight="1" x14ac:dyDescent="0.25">
      <c r="A38" s="1" t="s">
        <v>355</v>
      </c>
      <c r="B38" s="73" t="s">
        <v>204</v>
      </c>
      <c r="C38" s="66" t="s">
        <v>45</v>
      </c>
      <c r="D38" s="66" t="s">
        <v>314</v>
      </c>
      <c r="E38" s="73">
        <v>10654</v>
      </c>
      <c r="F38" s="74">
        <f t="shared" si="2"/>
        <v>532.70000000000005</v>
      </c>
      <c r="G38" s="73">
        <f t="shared" si="3"/>
        <v>2663.5</v>
      </c>
      <c r="H38" s="73" t="s">
        <v>204</v>
      </c>
      <c r="I38" s="75"/>
      <c r="J38" s="73">
        <f>+Tabel24[[#This Row],[stk 5 dage buffer ]]*Tabel24[[#This Row],[inkøbspris pr stk]]</f>
        <v>0</v>
      </c>
      <c r="K38" s="70"/>
      <c r="L38" s="70"/>
      <c r="M38" s="70"/>
      <c r="N38" s="72" t="e">
        <f>Tabel24[[#This Row],[antal containere]]*N35</f>
        <v>#DIV/0!</v>
      </c>
    </row>
    <row r="39" spans="1:14" ht="20.100000000000001" customHeight="1" x14ac:dyDescent="0.25">
      <c r="A39" s="1" t="s">
        <v>356</v>
      </c>
      <c r="B39" s="73" t="s">
        <v>204</v>
      </c>
      <c r="C39" s="66" t="s">
        <v>46</v>
      </c>
      <c r="D39" s="66" t="s">
        <v>313</v>
      </c>
      <c r="E39" s="73">
        <v>11941</v>
      </c>
      <c r="F39" s="74">
        <f t="shared" si="2"/>
        <v>597.04999999999995</v>
      </c>
      <c r="G39" s="73">
        <f t="shared" si="3"/>
        <v>2985.25</v>
      </c>
      <c r="H39" s="73" t="s">
        <v>204</v>
      </c>
      <c r="I39" s="75"/>
      <c r="J39" s="73">
        <f>+Tabel24[[#This Row],[stk 5 dage buffer ]]*Tabel24[[#This Row],[inkøbspris pr stk]]</f>
        <v>0</v>
      </c>
      <c r="K39" s="70"/>
      <c r="L39" s="70"/>
      <c r="M39" s="70"/>
      <c r="N39" s="72" t="e">
        <f>Tabel24[[#This Row],[antal containere]]*N36</f>
        <v>#VALUE!</v>
      </c>
    </row>
    <row r="40" spans="1:14" ht="20.100000000000001" customHeight="1" x14ac:dyDescent="0.25">
      <c r="A40" s="1" t="s">
        <v>342</v>
      </c>
      <c r="B40" s="73" t="s">
        <v>199</v>
      </c>
      <c r="C40" s="66" t="s">
        <v>47</v>
      </c>
      <c r="D40" s="66"/>
      <c r="E40" s="73">
        <v>121</v>
      </c>
      <c r="F40" s="74">
        <f t="shared" si="2"/>
        <v>6.05</v>
      </c>
      <c r="G40" s="73">
        <f t="shared" si="3"/>
        <v>30.25</v>
      </c>
      <c r="H40" s="73" t="s">
        <v>199</v>
      </c>
      <c r="I40" s="75"/>
      <c r="J40" s="73">
        <f>+Tabel24[[#This Row],[stk 5 dage buffer ]]*Tabel24[[#This Row],[inkøbspris pr stk]]</f>
        <v>0</v>
      </c>
      <c r="K40" s="70"/>
      <c r="L40" s="70"/>
      <c r="M40" s="70"/>
      <c r="N40" s="72" t="e">
        <f>Tabel24[[#This Row],[antal containere]]*N37</f>
        <v>#DIV/0!</v>
      </c>
    </row>
    <row r="41" spans="1:14" ht="20.100000000000001" customHeight="1" x14ac:dyDescent="0.25">
      <c r="A41" s="1" t="s">
        <v>357</v>
      </c>
      <c r="B41" s="73" t="s">
        <v>199</v>
      </c>
      <c r="C41" s="66" t="s">
        <v>48</v>
      </c>
      <c r="D41" s="66"/>
      <c r="E41" s="73">
        <v>2640</v>
      </c>
      <c r="F41" s="74">
        <f t="shared" si="2"/>
        <v>132</v>
      </c>
      <c r="G41" s="73">
        <f t="shared" si="3"/>
        <v>660</v>
      </c>
      <c r="H41" s="73" t="s">
        <v>199</v>
      </c>
      <c r="I41" s="75"/>
      <c r="J41" s="73">
        <f>+Tabel24[[#This Row],[stk 5 dage buffer ]]*Tabel24[[#This Row],[inkøbspris pr stk]]</f>
        <v>0</v>
      </c>
      <c r="K41" s="70"/>
      <c r="L41" s="70"/>
      <c r="M41" s="70"/>
      <c r="N41" s="72" t="e">
        <f>Tabel24[[#This Row],[antal containere]]*N38</f>
        <v>#DIV/0!</v>
      </c>
    </row>
    <row r="42" spans="1:14" ht="20.100000000000001" customHeight="1" x14ac:dyDescent="0.25">
      <c r="A42" s="1" t="s">
        <v>342</v>
      </c>
      <c r="B42" s="73" t="s">
        <v>204</v>
      </c>
      <c r="C42" s="66" t="s">
        <v>50</v>
      </c>
      <c r="D42" s="66"/>
      <c r="E42" s="73">
        <v>1</v>
      </c>
      <c r="F42" s="74">
        <f t="shared" si="2"/>
        <v>0.05</v>
      </c>
      <c r="G42" s="73">
        <f t="shared" si="3"/>
        <v>0.25</v>
      </c>
      <c r="H42" s="73" t="s">
        <v>204</v>
      </c>
      <c r="I42" s="75"/>
      <c r="J42" s="73">
        <f>+Tabel24[[#This Row],[stk 5 dage buffer ]]*Tabel24[[#This Row],[inkøbspris pr stk]]</f>
        <v>0</v>
      </c>
      <c r="K42" s="70"/>
      <c r="L42" s="70"/>
      <c r="M42" s="70"/>
      <c r="N42" s="72" t="e">
        <f>Tabel24[[#This Row],[antal containere]]*N39</f>
        <v>#VALUE!</v>
      </c>
    </row>
    <row r="43" spans="1:14" ht="20.100000000000001" customHeight="1" x14ac:dyDescent="0.25">
      <c r="A43" s="1" t="s">
        <v>342</v>
      </c>
      <c r="B43" s="73" t="s">
        <v>204</v>
      </c>
      <c r="C43" s="66" t="s">
        <v>52</v>
      </c>
      <c r="D43" s="66"/>
      <c r="E43" s="73">
        <v>7</v>
      </c>
      <c r="F43" s="74">
        <f t="shared" si="2"/>
        <v>0.35</v>
      </c>
      <c r="G43" s="73">
        <f t="shared" si="3"/>
        <v>1.75</v>
      </c>
      <c r="H43" s="73" t="s">
        <v>204</v>
      </c>
      <c r="I43" s="75"/>
      <c r="J43" s="73">
        <f>+Tabel24[[#This Row],[stk 5 dage buffer ]]*Tabel24[[#This Row],[inkøbspris pr stk]]</f>
        <v>0</v>
      </c>
      <c r="K43" s="70"/>
      <c r="L43" s="70"/>
      <c r="M43" s="70"/>
      <c r="N43" s="72" t="e">
        <f>Tabel24[[#This Row],[antal containere]]*N40</f>
        <v>#DIV/0!</v>
      </c>
    </row>
    <row r="44" spans="1:14" ht="20.100000000000001" customHeight="1" x14ac:dyDescent="0.25">
      <c r="A44" s="1" t="s">
        <v>342</v>
      </c>
      <c r="B44" s="73" t="s">
        <v>204</v>
      </c>
      <c r="C44" s="66" t="s">
        <v>53</v>
      </c>
      <c r="D44" s="66"/>
      <c r="E44" s="73">
        <v>20</v>
      </c>
      <c r="F44" s="74">
        <f t="shared" si="2"/>
        <v>1</v>
      </c>
      <c r="G44" s="73">
        <f t="shared" si="3"/>
        <v>5</v>
      </c>
      <c r="H44" s="73" t="s">
        <v>204</v>
      </c>
      <c r="I44" s="75"/>
      <c r="J44" s="73">
        <f>+Tabel24[[#This Row],[stk 5 dage buffer ]]*Tabel24[[#This Row],[inkøbspris pr stk]]</f>
        <v>0</v>
      </c>
      <c r="K44" s="70"/>
      <c r="L44" s="70"/>
      <c r="M44" s="70"/>
      <c r="N44" s="72" t="e">
        <f>Tabel24[[#This Row],[antal containere]]*N41</f>
        <v>#DIV/0!</v>
      </c>
    </row>
    <row r="45" spans="1:14" ht="20.100000000000001" customHeight="1" x14ac:dyDescent="0.25">
      <c r="A45" s="1" t="s">
        <v>342</v>
      </c>
      <c r="B45" s="73" t="s">
        <v>204</v>
      </c>
      <c r="C45" s="66" t="s">
        <v>54</v>
      </c>
      <c r="D45" s="66"/>
      <c r="E45" s="73">
        <v>17</v>
      </c>
      <c r="F45" s="74">
        <f t="shared" si="2"/>
        <v>0.85</v>
      </c>
      <c r="G45" s="73">
        <f t="shared" si="3"/>
        <v>4.25</v>
      </c>
      <c r="H45" s="73" t="s">
        <v>204</v>
      </c>
      <c r="I45" s="75"/>
      <c r="J45" s="73">
        <f>+Tabel24[[#This Row],[stk 5 dage buffer ]]*Tabel24[[#This Row],[inkøbspris pr stk]]</f>
        <v>0</v>
      </c>
      <c r="K45" s="70"/>
      <c r="L45" s="70"/>
      <c r="M45" s="70"/>
      <c r="N45" s="72" t="e">
        <f>Tabel24[[#This Row],[antal containere]]*N42</f>
        <v>#VALUE!</v>
      </c>
    </row>
    <row r="46" spans="1:14" ht="20.100000000000001" customHeight="1" x14ac:dyDescent="0.25">
      <c r="A46" s="1" t="s">
        <v>358</v>
      </c>
      <c r="B46" s="73" t="s">
        <v>204</v>
      </c>
      <c r="C46" s="66" t="s">
        <v>55</v>
      </c>
      <c r="D46" s="66" t="s">
        <v>315</v>
      </c>
      <c r="E46" s="73">
        <v>9</v>
      </c>
      <c r="F46" s="74">
        <f t="shared" si="2"/>
        <v>0.45</v>
      </c>
      <c r="G46" s="73">
        <f t="shared" si="3"/>
        <v>2.25</v>
      </c>
      <c r="H46" s="73" t="s">
        <v>204</v>
      </c>
      <c r="I46" s="75"/>
      <c r="J46" s="73">
        <f>+Tabel24[[#This Row],[stk 5 dage buffer ]]*Tabel24[[#This Row],[inkøbspris pr stk]]</f>
        <v>0</v>
      </c>
      <c r="K46" s="70"/>
      <c r="L46" s="70"/>
      <c r="M46" s="70"/>
      <c r="N46" s="72" t="e">
        <f>Tabel24[[#This Row],[antal containere]]*N43</f>
        <v>#DIV/0!</v>
      </c>
    </row>
    <row r="47" spans="1:14" ht="20.100000000000001" customHeight="1" x14ac:dyDescent="0.25">
      <c r="A47" s="1" t="s">
        <v>359</v>
      </c>
      <c r="B47" s="73" t="s">
        <v>204</v>
      </c>
      <c r="C47" s="66" t="s">
        <v>56</v>
      </c>
      <c r="D47" s="66" t="s">
        <v>316</v>
      </c>
      <c r="E47" s="73">
        <v>2</v>
      </c>
      <c r="F47" s="74">
        <f t="shared" si="2"/>
        <v>0.1</v>
      </c>
      <c r="G47" s="73">
        <f t="shared" si="3"/>
        <v>0.5</v>
      </c>
      <c r="H47" s="73" t="s">
        <v>204</v>
      </c>
      <c r="I47" s="75"/>
      <c r="J47" s="73">
        <f>+Tabel24[[#This Row],[stk 5 dage buffer ]]*Tabel24[[#This Row],[inkøbspris pr stk]]</f>
        <v>0</v>
      </c>
      <c r="K47" s="70"/>
      <c r="L47" s="70"/>
      <c r="M47" s="70"/>
      <c r="N47" s="72" t="e">
        <f>Tabel24[[#This Row],[antal containere]]*N44</f>
        <v>#DIV/0!</v>
      </c>
    </row>
    <row r="48" spans="1:14" ht="20.100000000000001" customHeight="1" x14ac:dyDescent="0.25">
      <c r="A48" s="1" t="s">
        <v>360</v>
      </c>
      <c r="B48" s="73" t="s">
        <v>204</v>
      </c>
      <c r="C48" s="66" t="s">
        <v>57</v>
      </c>
      <c r="D48" s="66" t="s">
        <v>317</v>
      </c>
      <c r="E48" s="73">
        <v>9</v>
      </c>
      <c r="F48" s="74">
        <f t="shared" si="2"/>
        <v>0.45</v>
      </c>
      <c r="G48" s="73">
        <f t="shared" si="3"/>
        <v>2.25</v>
      </c>
      <c r="H48" s="73" t="s">
        <v>204</v>
      </c>
      <c r="I48" s="75"/>
      <c r="J48" s="73">
        <f>+Tabel24[[#This Row],[stk 5 dage buffer ]]*Tabel24[[#This Row],[inkøbspris pr stk]]</f>
        <v>0</v>
      </c>
      <c r="K48" s="70"/>
      <c r="L48" s="70"/>
      <c r="M48" s="70"/>
      <c r="N48" s="72" t="e">
        <f>Tabel24[[#This Row],[antal containere]]*N45</f>
        <v>#VALUE!</v>
      </c>
    </row>
    <row r="49" spans="1:14" ht="20.100000000000001" customHeight="1" x14ac:dyDescent="0.25">
      <c r="A49" s="1" t="s">
        <v>342</v>
      </c>
      <c r="B49" s="73" t="s">
        <v>203</v>
      </c>
      <c r="C49" s="66" t="s">
        <v>58</v>
      </c>
      <c r="D49" s="66"/>
      <c r="E49" s="73">
        <v>64</v>
      </c>
      <c r="F49" s="74">
        <f t="shared" si="2"/>
        <v>3.2</v>
      </c>
      <c r="G49" s="73">
        <f t="shared" si="3"/>
        <v>16</v>
      </c>
      <c r="H49" s="73" t="s">
        <v>203</v>
      </c>
      <c r="I49" s="75"/>
      <c r="J49" s="73">
        <f>+Tabel24[[#This Row],[stk 5 dage buffer ]]*Tabel24[[#This Row],[inkøbspris pr stk]]</f>
        <v>0</v>
      </c>
      <c r="K49" s="70"/>
      <c r="L49" s="70"/>
      <c r="M49" s="70"/>
      <c r="N49" s="72" t="e">
        <f>Tabel24[[#This Row],[antal containere]]*N46</f>
        <v>#DIV/0!</v>
      </c>
    </row>
    <row r="50" spans="1:14" ht="20.100000000000001" customHeight="1" x14ac:dyDescent="0.25">
      <c r="A50" s="1" t="s">
        <v>361</v>
      </c>
      <c r="B50" s="50" t="s">
        <v>205</v>
      </c>
      <c r="C50" s="47" t="s">
        <v>80</v>
      </c>
      <c r="D50" s="47"/>
      <c r="E50" s="48"/>
      <c r="F50" s="49">
        <f t="shared" si="2"/>
        <v>0</v>
      </c>
      <c r="G50" s="50">
        <f t="shared" si="3"/>
        <v>0</v>
      </c>
      <c r="H50" s="50" t="s">
        <v>205</v>
      </c>
      <c r="I50" s="51"/>
      <c r="J50" s="50">
        <f>+Tabel24[[#This Row],[stk 5 dage buffer ]]*Tabel24[[#This Row],[inkøbspris pr stk]]</f>
        <v>0</v>
      </c>
      <c r="K50" s="41"/>
      <c r="L50" s="41"/>
      <c r="M50" s="41" t="e">
        <f>Tabel24[[#This Row],[Investering]]/Tabel24[[#This Row],[stk pr container]]</f>
        <v>#DIV/0!</v>
      </c>
      <c r="N50" s="42" t="e">
        <f>Tabel24[[#This Row],[antal containere]]*N47</f>
        <v>#DIV/0!</v>
      </c>
    </row>
    <row r="51" spans="1:14" ht="20.100000000000001" customHeight="1" x14ac:dyDescent="0.25">
      <c r="A51" s="1" t="s">
        <v>342</v>
      </c>
      <c r="B51" s="73" t="s">
        <v>204</v>
      </c>
      <c r="C51" s="66" t="s">
        <v>59</v>
      </c>
      <c r="D51" s="66"/>
      <c r="E51" s="73">
        <v>671</v>
      </c>
      <c r="F51" s="74">
        <f t="shared" si="2"/>
        <v>33.549999999999997</v>
      </c>
      <c r="G51" s="73">
        <f t="shared" si="3"/>
        <v>167.75</v>
      </c>
      <c r="H51" s="73" t="s">
        <v>204</v>
      </c>
      <c r="I51" s="75"/>
      <c r="J51" s="73">
        <f>+Tabel24[[#This Row],[stk 5 dage buffer ]]*Tabel24[[#This Row],[inkøbspris pr stk]]</f>
        <v>0</v>
      </c>
      <c r="K51" s="70"/>
      <c r="L51" s="70"/>
      <c r="M51" s="70"/>
      <c r="N51" s="72" t="e">
        <f>Tabel24[[#This Row],[antal containere]]*N48</f>
        <v>#VALUE!</v>
      </c>
    </row>
    <row r="52" spans="1:14" ht="20.100000000000001" customHeight="1" x14ac:dyDescent="0.25">
      <c r="A52" s="1" t="s">
        <v>342</v>
      </c>
      <c r="B52" s="73" t="s">
        <v>203</v>
      </c>
      <c r="C52" s="66" t="s">
        <v>60</v>
      </c>
      <c r="D52" s="66"/>
      <c r="E52" s="73">
        <v>96</v>
      </c>
      <c r="F52" s="74">
        <f t="shared" si="2"/>
        <v>4.8</v>
      </c>
      <c r="G52" s="73">
        <f t="shared" si="3"/>
        <v>24</v>
      </c>
      <c r="H52" s="73" t="s">
        <v>203</v>
      </c>
      <c r="I52" s="75"/>
      <c r="J52" s="73">
        <f>+Tabel24[[#This Row],[stk 5 dage buffer ]]*Tabel24[[#This Row],[inkøbspris pr stk]]</f>
        <v>0</v>
      </c>
      <c r="K52" s="70"/>
      <c r="L52" s="70"/>
      <c r="M52" s="70"/>
      <c r="N52" s="72" t="e">
        <f>Tabel24[[#This Row],[antal containere]]*N49</f>
        <v>#DIV/0!</v>
      </c>
    </row>
    <row r="53" spans="1:14" ht="20.100000000000001" customHeight="1" x14ac:dyDescent="0.25">
      <c r="A53" s="1" t="s">
        <v>342</v>
      </c>
      <c r="B53" s="73" t="s">
        <v>203</v>
      </c>
      <c r="C53" s="66" t="s">
        <v>61</v>
      </c>
      <c r="D53" s="66"/>
      <c r="E53" s="73">
        <v>120</v>
      </c>
      <c r="F53" s="74">
        <f t="shared" si="2"/>
        <v>6</v>
      </c>
      <c r="G53" s="73">
        <f t="shared" si="3"/>
        <v>30</v>
      </c>
      <c r="H53" s="73" t="s">
        <v>203</v>
      </c>
      <c r="I53" s="75"/>
      <c r="J53" s="73">
        <f>+Tabel24[[#This Row],[stk 5 dage buffer ]]*Tabel24[[#This Row],[inkøbspris pr stk]]</f>
        <v>0</v>
      </c>
      <c r="K53" s="70"/>
      <c r="L53" s="70"/>
      <c r="M53" s="70"/>
      <c r="N53" s="72" t="e">
        <f>Tabel24[[#This Row],[antal containere]]*N50</f>
        <v>#DIV/0!</v>
      </c>
    </row>
    <row r="54" spans="1:14" ht="20.100000000000001" customHeight="1" x14ac:dyDescent="0.25">
      <c r="A54" s="1" t="s">
        <v>342</v>
      </c>
      <c r="B54" s="73" t="s">
        <v>203</v>
      </c>
      <c r="C54" s="66" t="s">
        <v>62</v>
      </c>
      <c r="D54" s="66"/>
      <c r="E54" s="73">
        <v>360</v>
      </c>
      <c r="F54" s="74">
        <f t="shared" si="2"/>
        <v>18</v>
      </c>
      <c r="G54" s="73">
        <f t="shared" si="3"/>
        <v>90</v>
      </c>
      <c r="H54" s="73" t="s">
        <v>203</v>
      </c>
      <c r="I54" s="75"/>
      <c r="J54" s="73">
        <f>+Tabel24[[#This Row],[stk 5 dage buffer ]]*Tabel24[[#This Row],[inkøbspris pr stk]]</f>
        <v>0</v>
      </c>
      <c r="K54" s="70"/>
      <c r="L54" s="70"/>
      <c r="M54" s="70"/>
      <c r="N54" s="72" t="e">
        <f>Tabel24[[#This Row],[antal containere]]*N51</f>
        <v>#VALUE!</v>
      </c>
    </row>
    <row r="55" spans="1:14" ht="20.100000000000001" customHeight="1" x14ac:dyDescent="0.25">
      <c r="A55" s="1" t="s">
        <v>342</v>
      </c>
      <c r="B55" s="73" t="s">
        <v>203</v>
      </c>
      <c r="C55" s="66" t="s">
        <v>63</v>
      </c>
      <c r="D55" s="66"/>
      <c r="E55" s="73">
        <v>190</v>
      </c>
      <c r="F55" s="74">
        <f t="shared" si="2"/>
        <v>9.5</v>
      </c>
      <c r="G55" s="73">
        <f t="shared" si="3"/>
        <v>47.5</v>
      </c>
      <c r="H55" s="73" t="s">
        <v>203</v>
      </c>
      <c r="I55" s="75"/>
      <c r="J55" s="73">
        <f>+Tabel24[[#This Row],[stk 5 dage buffer ]]*Tabel24[[#This Row],[inkøbspris pr stk]]</f>
        <v>0</v>
      </c>
      <c r="K55" s="70"/>
      <c r="L55" s="70"/>
      <c r="M55" s="70"/>
      <c r="N55" s="72" t="e">
        <f>Tabel24[[#This Row],[antal containere]]*N52</f>
        <v>#DIV/0!</v>
      </c>
    </row>
    <row r="56" spans="1:14" ht="20.100000000000001" customHeight="1" x14ac:dyDescent="0.25">
      <c r="A56" s="1" t="s">
        <v>342</v>
      </c>
      <c r="B56" s="73" t="s">
        <v>203</v>
      </c>
      <c r="C56" s="66" t="s">
        <v>64</v>
      </c>
      <c r="D56" s="66"/>
      <c r="E56" s="73">
        <v>120</v>
      </c>
      <c r="F56" s="74">
        <f t="shared" si="2"/>
        <v>6</v>
      </c>
      <c r="G56" s="73">
        <f t="shared" si="3"/>
        <v>30</v>
      </c>
      <c r="H56" s="73" t="s">
        <v>203</v>
      </c>
      <c r="I56" s="75"/>
      <c r="J56" s="73">
        <f>+Tabel24[[#This Row],[stk 5 dage buffer ]]*Tabel24[[#This Row],[inkøbspris pr stk]]</f>
        <v>0</v>
      </c>
      <c r="K56" s="70"/>
      <c r="L56" s="70"/>
      <c r="M56" s="70"/>
      <c r="N56" s="72" t="e">
        <f>Tabel24[[#This Row],[antal containere]]*N53</f>
        <v>#DIV/0!</v>
      </c>
    </row>
    <row r="57" spans="1:14" ht="20.100000000000001" customHeight="1" x14ac:dyDescent="0.25">
      <c r="A57" s="1" t="s">
        <v>362</v>
      </c>
      <c r="B57" s="73" t="s">
        <v>202</v>
      </c>
      <c r="C57" s="66" t="s">
        <v>65</v>
      </c>
      <c r="D57" s="66"/>
      <c r="E57" s="73">
        <v>630</v>
      </c>
      <c r="F57" s="74">
        <f t="shared" si="2"/>
        <v>31.5</v>
      </c>
      <c r="G57" s="73">
        <f t="shared" si="3"/>
        <v>157.5</v>
      </c>
      <c r="H57" s="73" t="s">
        <v>202</v>
      </c>
      <c r="I57" s="75"/>
      <c r="J57" s="73">
        <f>+Tabel24[[#This Row],[stk 5 dage buffer ]]*Tabel24[[#This Row],[inkøbspris pr stk]]</f>
        <v>0</v>
      </c>
      <c r="K57" s="70"/>
      <c r="L57" s="70"/>
      <c r="M57" s="70"/>
      <c r="N57" s="72" t="e">
        <f>Tabel24[[#This Row],[antal containere]]*N54</f>
        <v>#VALUE!</v>
      </c>
    </row>
    <row r="58" spans="1:14" ht="20.100000000000001" customHeight="1" x14ac:dyDescent="0.25">
      <c r="A58" s="1" t="s">
        <v>342</v>
      </c>
      <c r="B58" s="73" t="s">
        <v>202</v>
      </c>
      <c r="C58" s="66" t="s">
        <v>66</v>
      </c>
      <c r="D58" s="66"/>
      <c r="E58" s="73">
        <v>45</v>
      </c>
      <c r="F58" s="74">
        <f t="shared" si="2"/>
        <v>2.25</v>
      </c>
      <c r="G58" s="73">
        <f t="shared" si="3"/>
        <v>11.25</v>
      </c>
      <c r="H58" s="73" t="s">
        <v>202</v>
      </c>
      <c r="I58" s="75"/>
      <c r="J58" s="73">
        <f>+Tabel24[[#This Row],[stk 5 dage buffer ]]*Tabel24[[#This Row],[inkøbspris pr stk]]</f>
        <v>0</v>
      </c>
      <c r="K58" s="70"/>
      <c r="L58" s="70"/>
      <c r="M58" s="70"/>
      <c r="N58" s="72" t="e">
        <f>Tabel24[[#This Row],[antal containere]]*N55</f>
        <v>#DIV/0!</v>
      </c>
    </row>
    <row r="59" spans="1:14" ht="20.100000000000001" customHeight="1" x14ac:dyDescent="0.25">
      <c r="A59" s="1" t="s">
        <v>363</v>
      </c>
      <c r="B59" s="73" t="s">
        <v>204</v>
      </c>
      <c r="C59" s="66" t="s">
        <v>67</v>
      </c>
      <c r="D59" s="66"/>
      <c r="E59" s="73">
        <v>3</v>
      </c>
      <c r="F59" s="74">
        <f t="shared" si="2"/>
        <v>0.15</v>
      </c>
      <c r="G59" s="73">
        <f t="shared" si="3"/>
        <v>0.75</v>
      </c>
      <c r="H59" s="73" t="s">
        <v>204</v>
      </c>
      <c r="I59" s="75"/>
      <c r="J59" s="73">
        <f>+Tabel24[[#This Row],[stk 5 dage buffer ]]*Tabel24[[#This Row],[inkøbspris pr stk]]</f>
        <v>0</v>
      </c>
      <c r="K59" s="70"/>
      <c r="L59" s="70"/>
      <c r="M59" s="70"/>
      <c r="N59" s="72" t="e">
        <f>Tabel24[[#This Row],[antal containere]]*N56</f>
        <v>#DIV/0!</v>
      </c>
    </row>
    <row r="60" spans="1:14" ht="20.100000000000001" customHeight="1" x14ac:dyDescent="0.25">
      <c r="A60" s="1" t="s">
        <v>364</v>
      </c>
      <c r="B60" s="73" t="s">
        <v>204</v>
      </c>
      <c r="C60" s="66" t="s">
        <v>68</v>
      </c>
      <c r="D60" s="66" t="s">
        <v>318</v>
      </c>
      <c r="E60" s="73">
        <v>95</v>
      </c>
      <c r="F60" s="74">
        <f t="shared" si="2"/>
        <v>4.75</v>
      </c>
      <c r="G60" s="73">
        <f t="shared" si="3"/>
        <v>23.75</v>
      </c>
      <c r="H60" s="73" t="s">
        <v>204</v>
      </c>
      <c r="I60" s="75"/>
      <c r="J60" s="73">
        <f>+Tabel24[[#This Row],[stk 5 dage buffer ]]*Tabel24[[#This Row],[inkøbspris pr stk]]</f>
        <v>0</v>
      </c>
      <c r="K60" s="70"/>
      <c r="L60" s="70"/>
      <c r="M60" s="70"/>
      <c r="N60" s="72" t="e">
        <f>Tabel24[[#This Row],[antal containere]]*N57</f>
        <v>#VALUE!</v>
      </c>
    </row>
    <row r="61" spans="1:14" ht="20.100000000000001" customHeight="1" x14ac:dyDescent="0.25">
      <c r="A61" s="1" t="s">
        <v>365</v>
      </c>
      <c r="B61" s="73" t="s">
        <v>199</v>
      </c>
      <c r="C61" s="66" t="s">
        <v>69</v>
      </c>
      <c r="D61" s="66"/>
      <c r="E61" s="73">
        <v>5230</v>
      </c>
      <c r="F61" s="74">
        <f t="shared" si="2"/>
        <v>261.5</v>
      </c>
      <c r="G61" s="73">
        <f t="shared" si="3"/>
        <v>1307.5</v>
      </c>
      <c r="H61" s="73" t="s">
        <v>199</v>
      </c>
      <c r="I61" s="75"/>
      <c r="J61" s="73">
        <f>+Tabel24[[#This Row],[stk 5 dage buffer ]]*Tabel24[[#This Row],[inkøbspris pr stk]]</f>
        <v>0</v>
      </c>
      <c r="K61" s="70"/>
      <c r="L61" s="70"/>
      <c r="M61" s="70"/>
      <c r="N61" s="72" t="e">
        <f>Tabel24[[#This Row],[antal containere]]*N58</f>
        <v>#DIV/0!</v>
      </c>
    </row>
    <row r="62" spans="1:14" ht="20.100000000000001" customHeight="1" x14ac:dyDescent="0.25">
      <c r="A62" s="1" t="s">
        <v>366</v>
      </c>
      <c r="B62" s="73" t="s">
        <v>199</v>
      </c>
      <c r="C62" s="66" t="s">
        <v>71</v>
      </c>
      <c r="D62" s="66"/>
      <c r="E62" s="73">
        <v>2360</v>
      </c>
      <c r="F62" s="74">
        <f t="shared" si="2"/>
        <v>118</v>
      </c>
      <c r="G62" s="73">
        <f t="shared" si="3"/>
        <v>590</v>
      </c>
      <c r="H62" s="73" t="s">
        <v>199</v>
      </c>
      <c r="I62" s="75"/>
      <c r="J62" s="73">
        <f>+Tabel24[[#This Row],[stk 5 dage buffer ]]*Tabel24[[#This Row],[inkøbspris pr stk]]</f>
        <v>0</v>
      </c>
      <c r="K62" s="70"/>
      <c r="L62" s="70"/>
      <c r="M62" s="70"/>
      <c r="N62" s="72" t="e">
        <f>Tabel24[[#This Row],[antal containere]]*N59</f>
        <v>#DIV/0!</v>
      </c>
    </row>
    <row r="63" spans="1:14" ht="20.100000000000001" customHeight="1" x14ac:dyDescent="0.25">
      <c r="A63" s="1" t="s">
        <v>367</v>
      </c>
      <c r="B63" s="73" t="s">
        <v>199</v>
      </c>
      <c r="C63" s="66" t="s">
        <v>72</v>
      </c>
      <c r="D63" s="66"/>
      <c r="E63" s="73">
        <v>320</v>
      </c>
      <c r="F63" s="74">
        <f t="shared" si="2"/>
        <v>16</v>
      </c>
      <c r="G63" s="73">
        <f t="shared" si="3"/>
        <v>80</v>
      </c>
      <c r="H63" s="73" t="s">
        <v>199</v>
      </c>
      <c r="I63" s="75"/>
      <c r="J63" s="73">
        <f>+Tabel24[[#This Row],[stk 5 dage buffer ]]*Tabel24[[#This Row],[inkøbspris pr stk]]</f>
        <v>0</v>
      </c>
      <c r="K63" s="70"/>
      <c r="L63" s="70"/>
      <c r="M63" s="70"/>
      <c r="N63" s="72" t="e">
        <f>Tabel24[[#This Row],[antal containere]]*N60</f>
        <v>#VALUE!</v>
      </c>
    </row>
    <row r="64" spans="1:14" ht="20.100000000000001" customHeight="1" x14ac:dyDescent="0.25">
      <c r="A64" s="1" t="s">
        <v>368</v>
      </c>
      <c r="B64" s="73" t="s">
        <v>199</v>
      </c>
      <c r="C64" s="66" t="s">
        <v>73</v>
      </c>
      <c r="D64" s="66"/>
      <c r="E64" s="73">
        <v>115</v>
      </c>
      <c r="F64" s="74">
        <f t="shared" si="2"/>
        <v>5.75</v>
      </c>
      <c r="G64" s="73">
        <f t="shared" si="3"/>
        <v>28.75</v>
      </c>
      <c r="H64" s="73" t="s">
        <v>199</v>
      </c>
      <c r="I64" s="75"/>
      <c r="J64" s="73">
        <f>+Tabel24[[#This Row],[stk 5 dage buffer ]]*Tabel24[[#This Row],[inkøbspris pr stk]]</f>
        <v>0</v>
      </c>
      <c r="K64" s="70"/>
      <c r="L64" s="70"/>
      <c r="M64" s="70"/>
      <c r="N64" s="72" t="e">
        <f>Tabel24[[#This Row],[antal containere]]*N61</f>
        <v>#DIV/0!</v>
      </c>
    </row>
    <row r="65" spans="1:14" ht="20.100000000000001" customHeight="1" x14ac:dyDescent="0.25">
      <c r="A65" s="1" t="s">
        <v>309</v>
      </c>
      <c r="B65" s="73" t="s">
        <v>199</v>
      </c>
      <c r="C65" s="66" t="s">
        <v>74</v>
      </c>
      <c r="D65" s="66"/>
      <c r="E65" s="73">
        <v>1340</v>
      </c>
      <c r="F65" s="74">
        <f t="shared" si="2"/>
        <v>67</v>
      </c>
      <c r="G65" s="73">
        <f t="shared" si="3"/>
        <v>335</v>
      </c>
      <c r="H65" s="73" t="s">
        <v>199</v>
      </c>
      <c r="I65" s="75"/>
      <c r="J65" s="73">
        <f>+Tabel24[[#This Row],[stk 5 dage buffer ]]*Tabel24[[#This Row],[inkøbspris pr stk]]</f>
        <v>0</v>
      </c>
      <c r="K65" s="70"/>
      <c r="L65" s="70"/>
      <c r="M65" s="70"/>
      <c r="N65" s="72" t="e">
        <f>Tabel24[[#This Row],[antal containere]]*N62</f>
        <v>#DIV/0!</v>
      </c>
    </row>
    <row r="66" spans="1:14" ht="20.100000000000001" customHeight="1" x14ac:dyDescent="0.25">
      <c r="A66" s="1" t="s">
        <v>369</v>
      </c>
      <c r="B66" s="73" t="s">
        <v>199</v>
      </c>
      <c r="C66" s="66" t="s">
        <v>75</v>
      </c>
      <c r="D66" s="66"/>
      <c r="E66" s="73">
        <v>6240</v>
      </c>
      <c r="F66" s="74">
        <f t="shared" si="2"/>
        <v>312</v>
      </c>
      <c r="G66" s="73">
        <f t="shared" si="3"/>
        <v>1560</v>
      </c>
      <c r="H66" s="73" t="s">
        <v>199</v>
      </c>
      <c r="I66" s="75"/>
      <c r="J66" s="73">
        <f>+Tabel24[[#This Row],[stk 5 dage buffer ]]*Tabel24[[#This Row],[inkøbspris pr stk]]</f>
        <v>0</v>
      </c>
      <c r="K66" s="70"/>
      <c r="L66" s="70"/>
      <c r="M66" s="70"/>
      <c r="N66" s="72" t="e">
        <f>Tabel24[[#This Row],[antal containere]]*N63</f>
        <v>#VALUE!</v>
      </c>
    </row>
    <row r="67" spans="1:14" ht="20.100000000000001" customHeight="1" x14ac:dyDescent="0.25">
      <c r="A67" s="1" t="s">
        <v>342</v>
      </c>
      <c r="B67" s="73" t="s">
        <v>199</v>
      </c>
      <c r="C67" s="66" t="s">
        <v>76</v>
      </c>
      <c r="D67" s="66"/>
      <c r="E67" s="73">
        <v>2160</v>
      </c>
      <c r="F67" s="74">
        <f t="shared" si="2"/>
        <v>108</v>
      </c>
      <c r="G67" s="73">
        <f t="shared" si="3"/>
        <v>540</v>
      </c>
      <c r="H67" s="73" t="s">
        <v>199</v>
      </c>
      <c r="I67" s="75"/>
      <c r="J67" s="73">
        <f>+Tabel24[[#This Row],[stk 5 dage buffer ]]*Tabel24[[#This Row],[inkøbspris pr stk]]</f>
        <v>0</v>
      </c>
      <c r="K67" s="70"/>
      <c r="L67" s="70"/>
      <c r="M67" s="70"/>
      <c r="N67" s="72" t="e">
        <f>Tabel24[[#This Row],[antal containere]]*N64</f>
        <v>#DIV/0!</v>
      </c>
    </row>
    <row r="68" spans="1:14" ht="20.100000000000001" customHeight="1" x14ac:dyDescent="0.25">
      <c r="A68" s="1" t="s">
        <v>370</v>
      </c>
      <c r="B68" s="73" t="s">
        <v>199</v>
      </c>
      <c r="C68" s="66" t="s">
        <v>77</v>
      </c>
      <c r="D68" s="66"/>
      <c r="E68" s="73">
        <f>2560+30</f>
        <v>2590</v>
      </c>
      <c r="F68" s="74">
        <f t="shared" ref="F68:F99" si="4">+E68/+$F$2</f>
        <v>129.5</v>
      </c>
      <c r="G68" s="73">
        <f t="shared" ref="G68:G99" si="5">+F68*$F$1</f>
        <v>647.5</v>
      </c>
      <c r="H68" s="73" t="s">
        <v>199</v>
      </c>
      <c r="I68" s="75"/>
      <c r="J68" s="73">
        <f>+Tabel24[[#This Row],[stk 5 dage buffer ]]*Tabel24[[#This Row],[inkøbspris pr stk]]</f>
        <v>0</v>
      </c>
      <c r="K68" s="70"/>
      <c r="L68" s="70"/>
      <c r="M68" s="70"/>
      <c r="N68" s="72" t="e">
        <f>Tabel24[[#This Row],[antal containere]]*N65</f>
        <v>#DIV/0!</v>
      </c>
    </row>
    <row r="69" spans="1:14" ht="20.100000000000001" customHeight="1" x14ac:dyDescent="0.25">
      <c r="A69" s="1" t="s">
        <v>371</v>
      </c>
      <c r="B69" s="73" t="s">
        <v>199</v>
      </c>
      <c r="C69" s="66" t="s">
        <v>78</v>
      </c>
      <c r="D69" s="66"/>
      <c r="E69" s="73">
        <f>3360+30</f>
        <v>3390</v>
      </c>
      <c r="F69" s="74">
        <f t="shared" si="4"/>
        <v>169.5</v>
      </c>
      <c r="G69" s="73">
        <f t="shared" si="5"/>
        <v>847.5</v>
      </c>
      <c r="H69" s="73" t="s">
        <v>199</v>
      </c>
      <c r="I69" s="75"/>
      <c r="J69" s="73">
        <f>+Tabel24[[#This Row],[stk 5 dage buffer ]]*Tabel24[[#This Row],[inkøbspris pr stk]]</f>
        <v>0</v>
      </c>
      <c r="K69" s="70"/>
      <c r="L69" s="70"/>
      <c r="M69" s="70"/>
      <c r="N69" s="72" t="e">
        <f>Tabel24[[#This Row],[antal containere]]*N66</f>
        <v>#VALUE!</v>
      </c>
    </row>
    <row r="70" spans="1:14" ht="20.100000000000001" customHeight="1" x14ac:dyDescent="0.25">
      <c r="A70" s="1" t="s">
        <v>342</v>
      </c>
      <c r="B70" s="73" t="s">
        <v>199</v>
      </c>
      <c r="C70" s="66" t="s">
        <v>79</v>
      </c>
      <c r="D70" s="66"/>
      <c r="E70" s="73">
        <v>24</v>
      </c>
      <c r="F70" s="74">
        <f t="shared" si="4"/>
        <v>1.2</v>
      </c>
      <c r="G70" s="73">
        <f t="shared" si="5"/>
        <v>6</v>
      </c>
      <c r="H70" s="73" t="s">
        <v>199</v>
      </c>
      <c r="I70" s="75"/>
      <c r="J70" s="73">
        <f>+Tabel24[[#This Row],[stk 5 dage buffer ]]*Tabel24[[#This Row],[inkøbspris pr stk]]</f>
        <v>0</v>
      </c>
      <c r="K70" s="70"/>
      <c r="L70" s="70"/>
      <c r="M70" s="70"/>
      <c r="N70" s="72" t="e">
        <f>Tabel24[[#This Row],[antal containere]]*N67</f>
        <v>#DIV/0!</v>
      </c>
    </row>
    <row r="71" spans="1:14" ht="20.100000000000001" customHeight="1" x14ac:dyDescent="0.25">
      <c r="A71" s="1" t="s">
        <v>372</v>
      </c>
      <c r="B71" s="73" t="s">
        <v>199</v>
      </c>
      <c r="C71" s="66" t="s">
        <v>81</v>
      </c>
      <c r="D71" s="66"/>
      <c r="E71" s="73">
        <v>50</v>
      </c>
      <c r="F71" s="74">
        <f t="shared" si="4"/>
        <v>2.5</v>
      </c>
      <c r="G71" s="73">
        <f t="shared" si="5"/>
        <v>12.5</v>
      </c>
      <c r="H71" s="73" t="s">
        <v>199</v>
      </c>
      <c r="I71" s="75"/>
      <c r="J71" s="73">
        <f>+Tabel24[[#This Row],[stk 5 dage buffer ]]*Tabel24[[#This Row],[inkøbspris pr stk]]</f>
        <v>0</v>
      </c>
      <c r="K71" s="70"/>
      <c r="L71" s="70"/>
      <c r="M71" s="70"/>
      <c r="N71" s="72" t="e">
        <f>Tabel24[[#This Row],[antal containere]]*N68</f>
        <v>#DIV/0!</v>
      </c>
    </row>
    <row r="72" spans="1:14" ht="20.100000000000001" customHeight="1" x14ac:dyDescent="0.25">
      <c r="A72" s="1" t="s">
        <v>373</v>
      </c>
      <c r="B72" s="55" t="s">
        <v>205</v>
      </c>
      <c r="C72" s="52" t="s">
        <v>124</v>
      </c>
      <c r="D72" s="52"/>
      <c r="E72" s="53"/>
      <c r="F72" s="54">
        <f t="shared" si="4"/>
        <v>0</v>
      </c>
      <c r="G72" s="55">
        <f t="shared" si="5"/>
        <v>0</v>
      </c>
      <c r="H72" s="55" t="s">
        <v>205</v>
      </c>
      <c r="I72" s="56"/>
      <c r="J72" s="55">
        <f>+Tabel24[[#This Row],[stk 5 dage buffer ]]*Tabel24[[#This Row],[inkøbspris pr stk]]</f>
        <v>0</v>
      </c>
      <c r="K72" s="41"/>
      <c r="L72" s="41"/>
      <c r="M72" s="41" t="e">
        <f>Tabel24[[#This Row],[Investering]]/Tabel24[[#This Row],[stk pr container]]</f>
        <v>#DIV/0!</v>
      </c>
      <c r="N72" s="42" t="e">
        <f>Tabel24[[#This Row],[antal containere]]*N69</f>
        <v>#DIV/0!</v>
      </c>
    </row>
    <row r="73" spans="1:14" ht="20.100000000000001" customHeight="1" x14ac:dyDescent="0.25">
      <c r="A73" s="1" t="s">
        <v>374</v>
      </c>
      <c r="B73" s="18" t="s">
        <v>205</v>
      </c>
      <c r="C73" s="8" t="s">
        <v>125</v>
      </c>
      <c r="D73" s="8"/>
      <c r="E73" s="16"/>
      <c r="F73" s="17">
        <f t="shared" si="4"/>
        <v>0</v>
      </c>
      <c r="G73" s="18">
        <f t="shared" si="5"/>
        <v>0</v>
      </c>
      <c r="H73" s="18" t="s">
        <v>205</v>
      </c>
      <c r="I73" s="44"/>
      <c r="J73" s="18">
        <f>+Tabel24[[#This Row],[stk 5 dage buffer ]]*Tabel24[[#This Row],[inkøbspris pr stk]]</f>
        <v>0</v>
      </c>
      <c r="K73" s="41"/>
      <c r="L73" s="41"/>
      <c r="M73" s="41" t="e">
        <f>Tabel24[[#This Row],[Investering]]/Tabel24[[#This Row],[stk pr container]]</f>
        <v>#DIV/0!</v>
      </c>
      <c r="N73" s="42" t="e">
        <f>Tabel24[[#This Row],[antal containere]]*N70</f>
        <v>#DIV/0!</v>
      </c>
    </row>
    <row r="74" spans="1:14" ht="20.100000000000001" customHeight="1" x14ac:dyDescent="0.25">
      <c r="A74" s="1" t="s">
        <v>375</v>
      </c>
      <c r="B74" s="73" t="s">
        <v>205</v>
      </c>
      <c r="C74" s="66" t="s">
        <v>82</v>
      </c>
      <c r="D74" s="66" t="s">
        <v>323</v>
      </c>
      <c r="E74" s="73">
        <v>1542</v>
      </c>
      <c r="F74" s="74">
        <f t="shared" si="4"/>
        <v>77.099999999999994</v>
      </c>
      <c r="G74" s="73">
        <f t="shared" si="5"/>
        <v>385.5</v>
      </c>
      <c r="H74" s="73" t="s">
        <v>205</v>
      </c>
      <c r="I74" s="75"/>
      <c r="J74" s="73">
        <f>+Tabel24[[#This Row],[stk 5 dage buffer ]]*Tabel24[[#This Row],[inkøbspris pr stk]]</f>
        <v>0</v>
      </c>
      <c r="K74" s="70"/>
      <c r="L74" s="70"/>
      <c r="M74" s="70"/>
      <c r="N74" s="72" t="e">
        <f>Tabel24[[#This Row],[antal containere]]*N71</f>
        <v>#DIV/0!</v>
      </c>
    </row>
    <row r="75" spans="1:14" ht="20.100000000000001" customHeight="1" x14ac:dyDescent="0.25">
      <c r="A75" s="1" t="s">
        <v>342</v>
      </c>
      <c r="B75" s="73" t="s">
        <v>199</v>
      </c>
      <c r="C75" s="66" t="s">
        <v>83</v>
      </c>
      <c r="D75" s="66"/>
      <c r="E75" s="73">
        <v>4</v>
      </c>
      <c r="F75" s="74">
        <f t="shared" si="4"/>
        <v>0.2</v>
      </c>
      <c r="G75" s="73">
        <f t="shared" si="5"/>
        <v>1</v>
      </c>
      <c r="H75" s="73" t="s">
        <v>199</v>
      </c>
      <c r="I75" s="75"/>
      <c r="J75" s="73">
        <f>+Tabel24[[#This Row],[stk 5 dage buffer ]]*Tabel24[[#This Row],[inkøbspris pr stk]]</f>
        <v>0</v>
      </c>
      <c r="K75" s="70"/>
      <c r="L75" s="70"/>
      <c r="M75" s="70"/>
      <c r="N75" s="72" t="e">
        <f>Tabel24[[#This Row],[antal containere]]*N72</f>
        <v>#DIV/0!</v>
      </c>
    </row>
    <row r="76" spans="1:14" ht="20.100000000000001" customHeight="1" x14ac:dyDescent="0.25">
      <c r="A76" s="1" t="s">
        <v>342</v>
      </c>
      <c r="B76" s="73" t="s">
        <v>199</v>
      </c>
      <c r="C76" s="66" t="s">
        <v>89</v>
      </c>
      <c r="D76" s="66"/>
      <c r="E76" s="73">
        <v>30</v>
      </c>
      <c r="F76" s="74">
        <f t="shared" si="4"/>
        <v>1.5</v>
      </c>
      <c r="G76" s="73">
        <f t="shared" si="5"/>
        <v>7.5</v>
      </c>
      <c r="H76" s="73" t="s">
        <v>199</v>
      </c>
      <c r="I76" s="75"/>
      <c r="J76" s="73">
        <f>+Tabel24[[#This Row],[stk 5 dage buffer ]]*Tabel24[[#This Row],[inkøbspris pr stk]]</f>
        <v>0</v>
      </c>
      <c r="K76" s="70"/>
      <c r="L76" s="70"/>
      <c r="M76" s="70"/>
      <c r="N76" s="72" t="e">
        <f>Tabel24[[#This Row],[antal containere]]*N73</f>
        <v>#DIV/0!</v>
      </c>
    </row>
    <row r="77" spans="1:14" ht="20.100000000000001" customHeight="1" x14ac:dyDescent="0.25">
      <c r="A77" s="1" t="s">
        <v>342</v>
      </c>
      <c r="B77" s="73" t="s">
        <v>199</v>
      </c>
      <c r="C77" s="66" t="s">
        <v>90</v>
      </c>
      <c r="D77" s="66"/>
      <c r="E77" s="73">
        <v>30</v>
      </c>
      <c r="F77" s="74">
        <f t="shared" si="4"/>
        <v>1.5</v>
      </c>
      <c r="G77" s="73">
        <f t="shared" si="5"/>
        <v>7.5</v>
      </c>
      <c r="H77" s="73" t="s">
        <v>199</v>
      </c>
      <c r="I77" s="75"/>
      <c r="J77" s="73">
        <f>+Tabel24[[#This Row],[stk 5 dage buffer ]]*Tabel24[[#This Row],[inkøbspris pr stk]]</f>
        <v>0</v>
      </c>
      <c r="K77" s="70"/>
      <c r="L77" s="70"/>
      <c r="M77" s="70"/>
      <c r="N77" s="72" t="e">
        <f>Tabel24[[#This Row],[antal containere]]*N74</f>
        <v>#DIV/0!</v>
      </c>
    </row>
    <row r="78" spans="1:14" ht="20.100000000000001" customHeight="1" x14ac:dyDescent="0.25">
      <c r="A78" s="1" t="s">
        <v>342</v>
      </c>
      <c r="B78" s="73" t="s">
        <v>199</v>
      </c>
      <c r="C78" s="66" t="s">
        <v>91</v>
      </c>
      <c r="D78" s="66"/>
      <c r="E78" s="73">
        <v>30</v>
      </c>
      <c r="F78" s="74">
        <f t="shared" si="4"/>
        <v>1.5</v>
      </c>
      <c r="G78" s="73">
        <f t="shared" si="5"/>
        <v>7.5</v>
      </c>
      <c r="H78" s="73" t="s">
        <v>199</v>
      </c>
      <c r="I78" s="75"/>
      <c r="J78" s="73">
        <f>+Tabel24[[#This Row],[stk 5 dage buffer ]]*Tabel24[[#This Row],[inkøbspris pr stk]]</f>
        <v>0</v>
      </c>
      <c r="K78" s="70"/>
      <c r="L78" s="70"/>
      <c r="M78" s="70"/>
      <c r="N78" s="72" t="e">
        <f>Tabel24[[#This Row],[antal containere]]*N75</f>
        <v>#DIV/0!</v>
      </c>
    </row>
    <row r="79" spans="1:14" ht="20.100000000000001" customHeight="1" x14ac:dyDescent="0.25">
      <c r="A79" s="1" t="s">
        <v>376</v>
      </c>
      <c r="B79" s="73" t="s">
        <v>199</v>
      </c>
      <c r="C79" s="66" t="s">
        <v>92</v>
      </c>
      <c r="D79" s="66"/>
      <c r="E79" s="73">
        <v>96</v>
      </c>
      <c r="F79" s="74">
        <f t="shared" si="4"/>
        <v>4.8</v>
      </c>
      <c r="G79" s="73">
        <f t="shared" si="5"/>
        <v>24</v>
      </c>
      <c r="H79" s="73" t="s">
        <v>199</v>
      </c>
      <c r="I79" s="75"/>
      <c r="J79" s="73">
        <f>+Tabel24[[#This Row],[stk 5 dage buffer ]]*Tabel24[[#This Row],[inkøbspris pr stk]]</f>
        <v>0</v>
      </c>
      <c r="K79" s="70"/>
      <c r="L79" s="70"/>
      <c r="M79" s="70"/>
      <c r="N79" s="72" t="e">
        <f>Tabel24[[#This Row],[antal containere]]*N76</f>
        <v>#DIV/0!</v>
      </c>
    </row>
    <row r="80" spans="1:14" ht="20.100000000000001" customHeight="1" x14ac:dyDescent="0.25">
      <c r="A80" s="89" t="s">
        <v>342</v>
      </c>
      <c r="B80" s="73" t="s">
        <v>199</v>
      </c>
      <c r="C80" s="66" t="s">
        <v>93</v>
      </c>
      <c r="D80" s="66"/>
      <c r="E80" s="73">
        <v>282</v>
      </c>
      <c r="F80" s="74">
        <f t="shared" si="4"/>
        <v>14.1</v>
      </c>
      <c r="G80" s="73">
        <f t="shared" si="5"/>
        <v>70.5</v>
      </c>
      <c r="H80" s="73" t="s">
        <v>199</v>
      </c>
      <c r="I80" s="75"/>
      <c r="J80" s="73">
        <f>+Tabel24[[#This Row],[stk 5 dage buffer ]]*Tabel24[[#This Row],[inkøbspris pr stk]]</f>
        <v>0</v>
      </c>
      <c r="K80" s="70"/>
      <c r="L80" s="70"/>
      <c r="M80" s="70"/>
      <c r="N80" s="72" t="e">
        <f>Tabel24[[#This Row],[antal containere]]*N77</f>
        <v>#DIV/0!</v>
      </c>
    </row>
    <row r="81" spans="1:14" ht="20.100000000000001" customHeight="1" x14ac:dyDescent="0.25">
      <c r="A81" s="1" t="s">
        <v>342</v>
      </c>
      <c r="B81" s="73" t="s">
        <v>204</v>
      </c>
      <c r="C81" s="66" t="s">
        <v>94</v>
      </c>
      <c r="D81" s="66" t="s">
        <v>319</v>
      </c>
      <c r="E81" s="73">
        <v>14</v>
      </c>
      <c r="F81" s="74">
        <f t="shared" si="4"/>
        <v>0.7</v>
      </c>
      <c r="G81" s="73">
        <f t="shared" si="5"/>
        <v>3.5</v>
      </c>
      <c r="H81" s="73" t="s">
        <v>204</v>
      </c>
      <c r="I81" s="75"/>
      <c r="J81" s="73">
        <f>+Tabel24[[#This Row],[stk 5 dage buffer ]]*Tabel24[[#This Row],[inkøbspris pr stk]]</f>
        <v>0</v>
      </c>
      <c r="K81" s="70"/>
      <c r="L81" s="70"/>
      <c r="M81" s="70"/>
      <c r="N81" s="72" t="e">
        <f>Tabel24[[#This Row],[antal containere]]*N78</f>
        <v>#DIV/0!</v>
      </c>
    </row>
    <row r="82" spans="1:14" ht="20.100000000000001" customHeight="1" x14ac:dyDescent="0.25">
      <c r="A82" s="1" t="s">
        <v>342</v>
      </c>
      <c r="B82" s="73" t="s">
        <v>204</v>
      </c>
      <c r="C82" s="66" t="s">
        <v>95</v>
      </c>
      <c r="D82" s="66" t="s">
        <v>320</v>
      </c>
      <c r="E82" s="73">
        <v>206</v>
      </c>
      <c r="F82" s="74">
        <f t="shared" si="4"/>
        <v>10.3</v>
      </c>
      <c r="G82" s="73">
        <f t="shared" si="5"/>
        <v>51.5</v>
      </c>
      <c r="H82" s="73" t="s">
        <v>204</v>
      </c>
      <c r="I82" s="75"/>
      <c r="J82" s="73">
        <f>+Tabel24[[#This Row],[stk 5 dage buffer ]]*Tabel24[[#This Row],[inkøbspris pr stk]]</f>
        <v>0</v>
      </c>
      <c r="K82" s="70"/>
      <c r="L82" s="70"/>
      <c r="M82" s="70"/>
      <c r="N82" s="72" t="e">
        <f>Tabel24[[#This Row],[antal containere]]*N79</f>
        <v>#DIV/0!</v>
      </c>
    </row>
    <row r="83" spans="1:14" ht="20.100000000000001" customHeight="1" x14ac:dyDescent="0.25">
      <c r="A83" s="1" t="s">
        <v>377</v>
      </c>
      <c r="B83" s="73" t="s">
        <v>204</v>
      </c>
      <c r="C83" s="66" t="s">
        <v>98</v>
      </c>
      <c r="D83" s="66" t="s">
        <v>321</v>
      </c>
      <c r="E83" s="73">
        <v>85</v>
      </c>
      <c r="F83" s="74">
        <f t="shared" si="4"/>
        <v>4.25</v>
      </c>
      <c r="G83" s="73">
        <f t="shared" si="5"/>
        <v>21.25</v>
      </c>
      <c r="H83" s="73" t="s">
        <v>204</v>
      </c>
      <c r="I83" s="75"/>
      <c r="J83" s="73">
        <f>+Tabel24[[#This Row],[stk 5 dage buffer ]]*Tabel24[[#This Row],[inkøbspris pr stk]]</f>
        <v>0</v>
      </c>
      <c r="K83" s="70"/>
      <c r="L83" s="70"/>
      <c r="M83" s="70"/>
      <c r="N83" s="72" t="e">
        <f>Tabel24[[#This Row],[antal containere]]*N80</f>
        <v>#DIV/0!</v>
      </c>
    </row>
    <row r="84" spans="1:14" ht="20.100000000000001" customHeight="1" x14ac:dyDescent="0.25">
      <c r="A84" s="1" t="s">
        <v>322</v>
      </c>
      <c r="B84" s="73" t="s">
        <v>204</v>
      </c>
      <c r="C84" s="66" t="s">
        <v>99</v>
      </c>
      <c r="D84" s="66" t="s">
        <v>322</v>
      </c>
      <c r="E84" s="73">
        <v>9</v>
      </c>
      <c r="F84" s="74">
        <f t="shared" si="4"/>
        <v>0.45</v>
      </c>
      <c r="G84" s="73">
        <f t="shared" si="5"/>
        <v>2.25</v>
      </c>
      <c r="H84" s="73" t="s">
        <v>204</v>
      </c>
      <c r="I84" s="75"/>
      <c r="J84" s="73">
        <f>+Tabel24[[#This Row],[stk 5 dage buffer ]]*Tabel24[[#This Row],[inkøbspris pr stk]]</f>
        <v>0</v>
      </c>
      <c r="K84" s="70"/>
      <c r="L84" s="70"/>
      <c r="M84" s="70"/>
      <c r="N84" s="72" t="e">
        <f>Tabel24[[#This Row],[antal containere]]*N81</f>
        <v>#DIV/0!</v>
      </c>
    </row>
    <row r="85" spans="1:14" ht="20.100000000000001" customHeight="1" x14ac:dyDescent="0.25">
      <c r="A85" s="1" t="s">
        <v>342</v>
      </c>
      <c r="B85" s="73" t="s">
        <v>204</v>
      </c>
      <c r="C85" s="66" t="s">
        <v>100</v>
      </c>
      <c r="D85" s="66" t="s">
        <v>306</v>
      </c>
      <c r="E85" s="73">
        <v>3492</v>
      </c>
      <c r="F85" s="74">
        <f t="shared" si="4"/>
        <v>174.6</v>
      </c>
      <c r="G85" s="73">
        <f t="shared" si="5"/>
        <v>873</v>
      </c>
      <c r="H85" s="73" t="s">
        <v>204</v>
      </c>
      <c r="I85" s="75"/>
      <c r="J85" s="73">
        <f>+Tabel24[[#This Row],[stk 5 dage buffer ]]*Tabel24[[#This Row],[inkøbspris pr stk]]</f>
        <v>0</v>
      </c>
      <c r="K85" s="70"/>
      <c r="L85" s="70"/>
      <c r="M85" s="70"/>
      <c r="N85" s="72" t="e">
        <f>Tabel24[[#This Row],[antal containere]]*N82</f>
        <v>#DIV/0!</v>
      </c>
    </row>
    <row r="86" spans="1:14" ht="20.100000000000001" customHeight="1" x14ac:dyDescent="0.25">
      <c r="A86" s="1" t="s">
        <v>378</v>
      </c>
      <c r="B86" s="73" t="s">
        <v>204</v>
      </c>
      <c r="C86" s="66" t="s">
        <v>101</v>
      </c>
      <c r="D86" s="66" t="s">
        <v>324</v>
      </c>
      <c r="E86" s="73">
        <v>621</v>
      </c>
      <c r="F86" s="74">
        <f t="shared" si="4"/>
        <v>31.05</v>
      </c>
      <c r="G86" s="73">
        <f t="shared" si="5"/>
        <v>155.25</v>
      </c>
      <c r="H86" s="73" t="s">
        <v>204</v>
      </c>
      <c r="I86" s="75"/>
      <c r="J86" s="73">
        <f>+Tabel24[[#This Row],[stk 5 dage buffer ]]*Tabel24[[#This Row],[inkøbspris pr stk]]</f>
        <v>0</v>
      </c>
      <c r="K86" s="70"/>
      <c r="L86" s="70"/>
      <c r="M86" s="70"/>
      <c r="N86" s="72" t="e">
        <f>Tabel24[[#This Row],[antal containere]]*N83</f>
        <v>#DIV/0!</v>
      </c>
    </row>
    <row r="87" spans="1:14" ht="20.100000000000001" customHeight="1" x14ac:dyDescent="0.25">
      <c r="A87" s="1" t="s">
        <v>379</v>
      </c>
      <c r="B87" s="73" t="s">
        <v>204</v>
      </c>
      <c r="C87" s="66" t="s">
        <v>102</v>
      </c>
      <c r="D87" s="66" t="s">
        <v>325</v>
      </c>
      <c r="E87" s="73">
        <v>934</v>
      </c>
      <c r="F87" s="74">
        <f t="shared" si="4"/>
        <v>46.7</v>
      </c>
      <c r="G87" s="73">
        <f t="shared" si="5"/>
        <v>233.5</v>
      </c>
      <c r="H87" s="73" t="s">
        <v>204</v>
      </c>
      <c r="I87" s="75"/>
      <c r="J87" s="73">
        <f>+Tabel24[[#This Row],[stk 5 dage buffer ]]*Tabel24[[#This Row],[inkøbspris pr stk]]</f>
        <v>0</v>
      </c>
      <c r="K87" s="70"/>
      <c r="L87" s="70"/>
      <c r="M87" s="70"/>
      <c r="N87" s="72" t="e">
        <f>Tabel24[[#This Row],[antal containere]]*N84</f>
        <v>#DIV/0!</v>
      </c>
    </row>
    <row r="88" spans="1:14" ht="20.100000000000001" customHeight="1" x14ac:dyDescent="0.25">
      <c r="A88" s="1" t="s">
        <v>380</v>
      </c>
      <c r="B88" s="73" t="s">
        <v>204</v>
      </c>
      <c r="C88" s="66" t="s">
        <v>103</v>
      </c>
      <c r="D88" s="66" t="s">
        <v>326</v>
      </c>
      <c r="E88" s="73">
        <v>465</v>
      </c>
      <c r="F88" s="74">
        <f t="shared" si="4"/>
        <v>23.25</v>
      </c>
      <c r="G88" s="73">
        <f t="shared" si="5"/>
        <v>116.25</v>
      </c>
      <c r="H88" s="73" t="s">
        <v>204</v>
      </c>
      <c r="I88" s="75"/>
      <c r="J88" s="73">
        <f>+Tabel24[[#This Row],[stk 5 dage buffer ]]*Tabel24[[#This Row],[inkøbspris pr stk]]</f>
        <v>0</v>
      </c>
      <c r="K88" s="70"/>
      <c r="L88" s="70"/>
      <c r="M88" s="70"/>
      <c r="N88" s="72" t="e">
        <f>Tabel24[[#This Row],[antal containere]]*N85</f>
        <v>#DIV/0!</v>
      </c>
    </row>
    <row r="89" spans="1:14" ht="20.100000000000001" customHeight="1" x14ac:dyDescent="0.25">
      <c r="A89" s="1" t="s">
        <v>381</v>
      </c>
      <c r="B89" s="73" t="s">
        <v>205</v>
      </c>
      <c r="C89" s="66" t="s">
        <v>104</v>
      </c>
      <c r="D89" s="66"/>
      <c r="E89" s="73">
        <v>2972</v>
      </c>
      <c r="F89" s="74">
        <f t="shared" si="4"/>
        <v>148.6</v>
      </c>
      <c r="G89" s="73">
        <f t="shared" si="5"/>
        <v>743</v>
      </c>
      <c r="H89" s="73" t="s">
        <v>205</v>
      </c>
      <c r="I89" s="75"/>
      <c r="J89" s="73">
        <f>+Tabel24[[#This Row],[stk 5 dage buffer ]]*Tabel24[[#This Row],[inkøbspris pr stk]]</f>
        <v>0</v>
      </c>
      <c r="K89" s="70"/>
      <c r="L89" s="70"/>
      <c r="M89" s="70"/>
      <c r="N89" s="72" t="e">
        <f>Tabel24[[#This Row],[antal containere]]*N86</f>
        <v>#DIV/0!</v>
      </c>
    </row>
    <row r="90" spans="1:14" ht="20.100000000000001" customHeight="1" x14ac:dyDescent="0.25">
      <c r="A90" s="1" t="s">
        <v>382</v>
      </c>
      <c r="B90" s="73" t="s">
        <v>205</v>
      </c>
      <c r="C90" s="66" t="s">
        <v>105</v>
      </c>
      <c r="D90" s="66" t="s">
        <v>327</v>
      </c>
      <c r="E90" s="73">
        <v>1743</v>
      </c>
      <c r="F90" s="74">
        <f t="shared" si="4"/>
        <v>87.15</v>
      </c>
      <c r="G90" s="73">
        <f t="shared" si="5"/>
        <v>435.75</v>
      </c>
      <c r="H90" s="73" t="s">
        <v>205</v>
      </c>
      <c r="I90" s="75"/>
      <c r="J90" s="73">
        <f>+Tabel24[[#This Row],[stk 5 dage buffer ]]*Tabel24[[#This Row],[inkøbspris pr stk]]</f>
        <v>0</v>
      </c>
      <c r="K90" s="70"/>
      <c r="L90" s="70"/>
      <c r="M90" s="70"/>
      <c r="N90" s="72" t="e">
        <f>Tabel24[[#This Row],[antal containere]]*N87</f>
        <v>#DIV/0!</v>
      </c>
    </row>
    <row r="91" spans="1:14" ht="20.100000000000001" customHeight="1" x14ac:dyDescent="0.25">
      <c r="A91" s="1" t="s">
        <v>383</v>
      </c>
      <c r="B91" s="73" t="s">
        <v>205</v>
      </c>
      <c r="C91" s="66" t="s">
        <v>106</v>
      </c>
      <c r="D91" s="66"/>
      <c r="E91" s="73">
        <v>375</v>
      </c>
      <c r="F91" s="74">
        <f t="shared" si="4"/>
        <v>18.75</v>
      </c>
      <c r="G91" s="73">
        <f t="shared" si="5"/>
        <v>93.75</v>
      </c>
      <c r="H91" s="73" t="s">
        <v>205</v>
      </c>
      <c r="I91" s="75"/>
      <c r="J91" s="73">
        <f>+Tabel24[[#This Row],[stk 5 dage buffer ]]*Tabel24[[#This Row],[inkøbspris pr stk]]</f>
        <v>0</v>
      </c>
      <c r="K91" s="70"/>
      <c r="L91" s="70"/>
      <c r="M91" s="70"/>
      <c r="N91" s="72" t="e">
        <f>Tabel24[[#This Row],[antal containere]]*N88</f>
        <v>#DIV/0!</v>
      </c>
    </row>
    <row r="92" spans="1:14" ht="20.100000000000001" customHeight="1" x14ac:dyDescent="0.25">
      <c r="A92" s="1" t="s">
        <v>384</v>
      </c>
      <c r="B92" s="73" t="s">
        <v>205</v>
      </c>
      <c r="C92" s="66" t="s">
        <v>107</v>
      </c>
      <c r="D92" s="66" t="s">
        <v>299</v>
      </c>
      <c r="E92" s="73">
        <v>271</v>
      </c>
      <c r="F92" s="74">
        <f t="shared" si="4"/>
        <v>13.55</v>
      </c>
      <c r="G92" s="73">
        <f t="shared" si="5"/>
        <v>67.75</v>
      </c>
      <c r="H92" s="73" t="s">
        <v>205</v>
      </c>
      <c r="I92" s="75"/>
      <c r="J92" s="73">
        <f>+Tabel24[[#This Row],[stk 5 dage buffer ]]*Tabel24[[#This Row],[inkøbspris pr stk]]</f>
        <v>0</v>
      </c>
      <c r="K92" s="70"/>
      <c r="L92" s="70"/>
      <c r="M92" s="70"/>
      <c r="N92" s="72" t="e">
        <f>Tabel24[[#This Row],[antal containere]]*N89</f>
        <v>#DIV/0!</v>
      </c>
    </row>
    <row r="93" spans="1:14" ht="20.100000000000001" customHeight="1" x14ac:dyDescent="0.25">
      <c r="A93" s="1" t="s">
        <v>385</v>
      </c>
      <c r="B93" s="73" t="s">
        <v>205</v>
      </c>
      <c r="C93" s="66" t="s">
        <v>108</v>
      </c>
      <c r="D93" s="66" t="s">
        <v>328</v>
      </c>
      <c r="E93" s="73">
        <v>2060</v>
      </c>
      <c r="F93" s="74">
        <f t="shared" si="4"/>
        <v>103</v>
      </c>
      <c r="G93" s="73">
        <f t="shared" si="5"/>
        <v>515</v>
      </c>
      <c r="H93" s="73" t="s">
        <v>205</v>
      </c>
      <c r="I93" s="75"/>
      <c r="J93" s="73">
        <f>+Tabel24[[#This Row],[stk 5 dage buffer ]]*Tabel24[[#This Row],[inkøbspris pr stk]]</f>
        <v>0</v>
      </c>
      <c r="K93" s="70"/>
      <c r="L93" s="70"/>
      <c r="M93" s="70"/>
      <c r="N93" s="72" t="e">
        <f>Tabel24[[#This Row],[antal containere]]*N90</f>
        <v>#DIV/0!</v>
      </c>
    </row>
    <row r="94" spans="1:14" ht="20.100000000000001" customHeight="1" x14ac:dyDescent="0.25">
      <c r="A94" s="1" t="s">
        <v>386</v>
      </c>
      <c r="B94" s="73" t="s">
        <v>205</v>
      </c>
      <c r="C94" s="66" t="s">
        <v>109</v>
      </c>
      <c r="D94" s="66"/>
      <c r="E94" s="73">
        <v>215</v>
      </c>
      <c r="F94" s="74">
        <f t="shared" si="4"/>
        <v>10.75</v>
      </c>
      <c r="G94" s="73">
        <f t="shared" si="5"/>
        <v>53.75</v>
      </c>
      <c r="H94" s="73" t="s">
        <v>205</v>
      </c>
      <c r="I94" s="75"/>
      <c r="J94" s="73">
        <f>+Tabel24[[#This Row],[stk 5 dage buffer ]]*Tabel24[[#This Row],[inkøbspris pr stk]]</f>
        <v>0</v>
      </c>
      <c r="K94" s="70"/>
      <c r="L94" s="70"/>
      <c r="M94" s="70"/>
      <c r="N94" s="72" t="e">
        <f>Tabel24[[#This Row],[antal containere]]*N91</f>
        <v>#DIV/0!</v>
      </c>
    </row>
    <row r="95" spans="1:14" ht="20.100000000000001" customHeight="1" x14ac:dyDescent="0.25">
      <c r="A95" s="1" t="s">
        <v>387</v>
      </c>
      <c r="B95" s="73" t="s">
        <v>205</v>
      </c>
      <c r="C95" s="66" t="s">
        <v>110</v>
      </c>
      <c r="D95" s="66"/>
      <c r="E95" s="73">
        <v>490</v>
      </c>
      <c r="F95" s="74">
        <f t="shared" si="4"/>
        <v>24.5</v>
      </c>
      <c r="G95" s="73">
        <f t="shared" si="5"/>
        <v>122.5</v>
      </c>
      <c r="H95" s="73" t="s">
        <v>205</v>
      </c>
      <c r="I95" s="75"/>
      <c r="J95" s="73">
        <f>+Tabel24[[#This Row],[stk 5 dage buffer ]]*Tabel24[[#This Row],[inkøbspris pr stk]]</f>
        <v>0</v>
      </c>
      <c r="K95" s="70"/>
      <c r="L95" s="70"/>
      <c r="M95" s="70"/>
      <c r="N95" s="72" t="e">
        <f>Tabel24[[#This Row],[antal containere]]*N92</f>
        <v>#DIV/0!</v>
      </c>
    </row>
    <row r="96" spans="1:14" ht="20.100000000000001" customHeight="1" x14ac:dyDescent="0.25">
      <c r="A96" s="1" t="s">
        <v>388</v>
      </c>
      <c r="B96" s="73" t="s">
        <v>205</v>
      </c>
      <c r="C96" s="66" t="s">
        <v>111</v>
      </c>
      <c r="D96" s="66" t="s">
        <v>307</v>
      </c>
      <c r="E96" s="73">
        <v>1833</v>
      </c>
      <c r="F96" s="74">
        <f t="shared" si="4"/>
        <v>91.65</v>
      </c>
      <c r="G96" s="73">
        <f t="shared" si="5"/>
        <v>458.25</v>
      </c>
      <c r="H96" s="73" t="s">
        <v>205</v>
      </c>
      <c r="I96" s="75"/>
      <c r="J96" s="73">
        <f>+Tabel24[[#This Row],[stk 5 dage buffer ]]*Tabel24[[#This Row],[inkøbspris pr stk]]</f>
        <v>0</v>
      </c>
      <c r="K96" s="70"/>
      <c r="L96" s="70"/>
      <c r="M96" s="70"/>
      <c r="N96" s="72" t="e">
        <f>Tabel24[[#This Row],[antal containere]]*N93</f>
        <v>#DIV/0!</v>
      </c>
    </row>
    <row r="97" spans="1:14" ht="20.100000000000001" customHeight="1" x14ac:dyDescent="0.25">
      <c r="A97" s="1" t="s">
        <v>389</v>
      </c>
      <c r="B97" s="73" t="s">
        <v>205</v>
      </c>
      <c r="C97" s="66" t="s">
        <v>112</v>
      </c>
      <c r="D97" s="66"/>
      <c r="E97" s="73">
        <v>148</v>
      </c>
      <c r="F97" s="74">
        <f t="shared" si="4"/>
        <v>7.4</v>
      </c>
      <c r="G97" s="73">
        <f t="shared" si="5"/>
        <v>37</v>
      </c>
      <c r="H97" s="73" t="s">
        <v>205</v>
      </c>
      <c r="I97" s="75"/>
      <c r="J97" s="73">
        <f>+Tabel24[[#This Row],[stk 5 dage buffer ]]*Tabel24[[#This Row],[inkøbspris pr stk]]</f>
        <v>0</v>
      </c>
      <c r="K97" s="70"/>
      <c r="L97" s="70"/>
      <c r="M97" s="70"/>
      <c r="N97" s="72" t="e">
        <f>Tabel24[[#This Row],[antal containere]]*N94</f>
        <v>#DIV/0!</v>
      </c>
    </row>
    <row r="98" spans="1:14" ht="20.100000000000001" customHeight="1" x14ac:dyDescent="0.25">
      <c r="A98" s="1" t="s">
        <v>390</v>
      </c>
      <c r="B98" s="73" t="s">
        <v>205</v>
      </c>
      <c r="C98" s="66" t="s">
        <v>113</v>
      </c>
      <c r="D98" s="66"/>
      <c r="E98" s="73">
        <v>62</v>
      </c>
      <c r="F98" s="74">
        <f t="shared" si="4"/>
        <v>3.1</v>
      </c>
      <c r="G98" s="73">
        <f t="shared" si="5"/>
        <v>15.5</v>
      </c>
      <c r="H98" s="73" t="s">
        <v>205</v>
      </c>
      <c r="I98" s="75"/>
      <c r="J98" s="73">
        <f>+Tabel24[[#This Row],[stk 5 dage buffer ]]*Tabel24[[#This Row],[inkøbspris pr stk]]</f>
        <v>0</v>
      </c>
      <c r="K98" s="70"/>
      <c r="L98" s="70"/>
      <c r="M98" s="70"/>
      <c r="N98" s="72" t="e">
        <f>Tabel24[[#This Row],[antal containere]]*N95</f>
        <v>#DIV/0!</v>
      </c>
    </row>
    <row r="99" spans="1:14" ht="20.100000000000001" customHeight="1" x14ac:dyDescent="0.25">
      <c r="A99" s="1" t="s">
        <v>391</v>
      </c>
      <c r="B99" s="73" t="s">
        <v>205</v>
      </c>
      <c r="C99" s="66" t="s">
        <v>114</v>
      </c>
      <c r="D99" s="66"/>
      <c r="E99" s="73">
        <v>5</v>
      </c>
      <c r="F99" s="74">
        <f t="shared" si="4"/>
        <v>0.25</v>
      </c>
      <c r="G99" s="73">
        <f t="shared" si="5"/>
        <v>1.25</v>
      </c>
      <c r="H99" s="73" t="s">
        <v>205</v>
      </c>
      <c r="I99" s="75"/>
      <c r="J99" s="73">
        <f>+Tabel24[[#This Row],[stk 5 dage buffer ]]*Tabel24[[#This Row],[inkøbspris pr stk]]</f>
        <v>0</v>
      </c>
      <c r="K99" s="70"/>
      <c r="L99" s="70"/>
      <c r="M99" s="70"/>
      <c r="N99" s="72" t="e">
        <f>Tabel24[[#This Row],[antal containere]]*N96</f>
        <v>#DIV/0!</v>
      </c>
    </row>
    <row r="100" spans="1:14" ht="20.100000000000001" customHeight="1" x14ac:dyDescent="0.25">
      <c r="A100" s="1" t="s">
        <v>392</v>
      </c>
      <c r="B100" s="73" t="s">
        <v>205</v>
      </c>
      <c r="C100" s="66" t="s">
        <v>115</v>
      </c>
      <c r="D100" s="66"/>
      <c r="E100" s="73">
        <v>316</v>
      </c>
      <c r="F100" s="74">
        <f t="shared" ref="F100:F131" si="6">+E100/+$F$2</f>
        <v>15.8</v>
      </c>
      <c r="G100" s="73">
        <f t="shared" ref="G100:G131" si="7">+F100*$F$1</f>
        <v>79</v>
      </c>
      <c r="H100" s="73" t="s">
        <v>205</v>
      </c>
      <c r="I100" s="75"/>
      <c r="J100" s="73">
        <f>+Tabel24[[#This Row],[stk 5 dage buffer ]]*Tabel24[[#This Row],[inkøbspris pr stk]]</f>
        <v>0</v>
      </c>
      <c r="K100" s="70"/>
      <c r="L100" s="70"/>
      <c r="M100" s="70"/>
      <c r="N100" s="72" t="e">
        <f>Tabel24[[#This Row],[antal containere]]*N97</f>
        <v>#DIV/0!</v>
      </c>
    </row>
    <row r="101" spans="1:14" ht="20.100000000000001" customHeight="1" x14ac:dyDescent="0.25">
      <c r="A101" s="1" t="s">
        <v>393</v>
      </c>
      <c r="B101" s="73" t="s">
        <v>205</v>
      </c>
      <c r="C101" s="66" t="s">
        <v>116</v>
      </c>
      <c r="D101" s="66"/>
      <c r="E101" s="73">
        <v>2501</v>
      </c>
      <c r="F101" s="74">
        <f t="shared" si="6"/>
        <v>125.05</v>
      </c>
      <c r="G101" s="73">
        <f t="shared" si="7"/>
        <v>625.25</v>
      </c>
      <c r="H101" s="73" t="s">
        <v>205</v>
      </c>
      <c r="I101" s="75"/>
      <c r="J101" s="73">
        <f>+Tabel24[[#This Row],[stk 5 dage buffer ]]*Tabel24[[#This Row],[inkøbspris pr stk]]</f>
        <v>0</v>
      </c>
      <c r="K101" s="70"/>
      <c r="L101" s="70"/>
      <c r="M101" s="70"/>
      <c r="N101" s="72" t="e">
        <f>Tabel24[[#This Row],[antal containere]]*N98</f>
        <v>#DIV/0!</v>
      </c>
    </row>
    <row r="102" spans="1:14" ht="20.100000000000001" customHeight="1" x14ac:dyDescent="0.25">
      <c r="A102" s="1" t="s">
        <v>394</v>
      </c>
      <c r="B102" s="73" t="s">
        <v>205</v>
      </c>
      <c r="C102" s="66" t="s">
        <v>117</v>
      </c>
      <c r="D102" s="66"/>
      <c r="E102" s="73">
        <v>159</v>
      </c>
      <c r="F102" s="74">
        <f t="shared" si="6"/>
        <v>7.95</v>
      </c>
      <c r="G102" s="73">
        <f t="shared" si="7"/>
        <v>39.75</v>
      </c>
      <c r="H102" s="73" t="s">
        <v>205</v>
      </c>
      <c r="I102" s="75"/>
      <c r="J102" s="73">
        <f>+Tabel24[[#This Row],[stk 5 dage buffer ]]*Tabel24[[#This Row],[inkøbspris pr stk]]</f>
        <v>0</v>
      </c>
      <c r="K102" s="70"/>
      <c r="L102" s="70"/>
      <c r="M102" s="70"/>
      <c r="N102" s="72" t="e">
        <f>Tabel24[[#This Row],[antal containere]]*N99</f>
        <v>#DIV/0!</v>
      </c>
    </row>
    <row r="103" spans="1:14" ht="20.100000000000001" customHeight="1" x14ac:dyDescent="0.25">
      <c r="A103" s="1" t="s">
        <v>395</v>
      </c>
      <c r="B103" s="73" t="s">
        <v>205</v>
      </c>
      <c r="C103" s="66" t="s">
        <v>118</v>
      </c>
      <c r="D103" s="66"/>
      <c r="E103" s="73">
        <v>104</v>
      </c>
      <c r="F103" s="74">
        <f t="shared" si="6"/>
        <v>5.2</v>
      </c>
      <c r="G103" s="73">
        <f t="shared" si="7"/>
        <v>26</v>
      </c>
      <c r="H103" s="73" t="s">
        <v>205</v>
      </c>
      <c r="I103" s="75"/>
      <c r="J103" s="73">
        <f>+Tabel24[[#This Row],[stk 5 dage buffer ]]*Tabel24[[#This Row],[inkøbspris pr stk]]</f>
        <v>0</v>
      </c>
      <c r="K103" s="70"/>
      <c r="L103" s="70"/>
      <c r="M103" s="70"/>
      <c r="N103" s="72" t="e">
        <f>Tabel24[[#This Row],[antal containere]]*N100</f>
        <v>#DIV/0!</v>
      </c>
    </row>
    <row r="104" spans="1:14" ht="20.100000000000001" customHeight="1" x14ac:dyDescent="0.25">
      <c r="A104" s="1" t="s">
        <v>396</v>
      </c>
      <c r="B104" s="73" t="s">
        <v>205</v>
      </c>
      <c r="C104" s="66" t="s">
        <v>119</v>
      </c>
      <c r="D104" s="66"/>
      <c r="E104" s="73">
        <v>1371</v>
      </c>
      <c r="F104" s="74">
        <f t="shared" si="6"/>
        <v>68.55</v>
      </c>
      <c r="G104" s="73">
        <f t="shared" si="7"/>
        <v>342.75</v>
      </c>
      <c r="H104" s="73" t="s">
        <v>205</v>
      </c>
      <c r="I104" s="75"/>
      <c r="J104" s="73">
        <f>+Tabel24[[#This Row],[stk 5 dage buffer ]]*Tabel24[[#This Row],[inkøbspris pr stk]]</f>
        <v>0</v>
      </c>
      <c r="K104" s="70"/>
      <c r="L104" s="70"/>
      <c r="M104" s="70"/>
      <c r="N104" s="72" t="e">
        <f>Tabel24[[#This Row],[antal containere]]*N101</f>
        <v>#DIV/0!</v>
      </c>
    </row>
    <row r="105" spans="1:14" ht="20.100000000000001" customHeight="1" x14ac:dyDescent="0.25">
      <c r="A105" s="1" t="s">
        <v>397</v>
      </c>
      <c r="B105" s="73" t="s">
        <v>205</v>
      </c>
      <c r="C105" s="66" t="s">
        <v>120</v>
      </c>
      <c r="D105" s="66"/>
      <c r="E105" s="73">
        <v>24</v>
      </c>
      <c r="F105" s="74">
        <f t="shared" si="6"/>
        <v>1.2</v>
      </c>
      <c r="G105" s="73">
        <f t="shared" si="7"/>
        <v>6</v>
      </c>
      <c r="H105" s="73" t="s">
        <v>205</v>
      </c>
      <c r="I105" s="75"/>
      <c r="J105" s="73">
        <f>+Tabel24[[#This Row],[stk 5 dage buffer ]]*Tabel24[[#This Row],[inkøbspris pr stk]]</f>
        <v>0</v>
      </c>
      <c r="K105" s="70"/>
      <c r="L105" s="70"/>
      <c r="M105" s="70"/>
      <c r="N105" s="72" t="e">
        <f>Tabel24[[#This Row],[antal containere]]*N102</f>
        <v>#DIV/0!</v>
      </c>
    </row>
    <row r="106" spans="1:14" ht="20.100000000000001" customHeight="1" x14ac:dyDescent="0.25">
      <c r="A106" s="1" t="s">
        <v>398</v>
      </c>
      <c r="B106" s="73" t="s">
        <v>205</v>
      </c>
      <c r="C106" s="66" t="s">
        <v>121</v>
      </c>
      <c r="D106" s="66"/>
      <c r="E106" s="73">
        <v>464</v>
      </c>
      <c r="F106" s="74">
        <f t="shared" si="6"/>
        <v>23.2</v>
      </c>
      <c r="G106" s="73">
        <f t="shared" si="7"/>
        <v>116</v>
      </c>
      <c r="H106" s="73" t="s">
        <v>205</v>
      </c>
      <c r="I106" s="75"/>
      <c r="J106" s="73">
        <f>+Tabel24[[#This Row],[stk 5 dage buffer ]]*Tabel24[[#This Row],[inkøbspris pr stk]]</f>
        <v>0</v>
      </c>
      <c r="K106" s="70"/>
      <c r="L106" s="70"/>
      <c r="M106" s="70"/>
      <c r="N106" s="72" t="e">
        <f>Tabel24[[#This Row],[antal containere]]*N103</f>
        <v>#DIV/0!</v>
      </c>
    </row>
    <row r="107" spans="1:14" ht="20.100000000000001" customHeight="1" x14ac:dyDescent="0.25">
      <c r="A107" s="1" t="s">
        <v>399</v>
      </c>
      <c r="B107" s="73" t="s">
        <v>205</v>
      </c>
      <c r="C107" s="66" t="s">
        <v>122</v>
      </c>
      <c r="D107" s="66"/>
      <c r="E107" s="73">
        <v>7</v>
      </c>
      <c r="F107" s="74">
        <f t="shared" si="6"/>
        <v>0.35</v>
      </c>
      <c r="G107" s="73">
        <f t="shared" si="7"/>
        <v>1.75</v>
      </c>
      <c r="H107" s="73" t="s">
        <v>205</v>
      </c>
      <c r="I107" s="75"/>
      <c r="J107" s="73">
        <f>+Tabel24[[#This Row],[stk 5 dage buffer ]]*Tabel24[[#This Row],[inkøbspris pr stk]]</f>
        <v>0</v>
      </c>
      <c r="K107" s="70"/>
      <c r="L107" s="70"/>
      <c r="M107" s="70"/>
      <c r="N107" s="72" t="e">
        <f>Tabel24[[#This Row],[antal containere]]*N104</f>
        <v>#DIV/0!</v>
      </c>
    </row>
    <row r="108" spans="1:14" ht="20.100000000000001" customHeight="1" x14ac:dyDescent="0.25">
      <c r="A108" s="1" t="s">
        <v>400</v>
      </c>
      <c r="B108" s="73" t="s">
        <v>205</v>
      </c>
      <c r="C108" s="66" t="s">
        <v>123</v>
      </c>
      <c r="D108" s="66"/>
      <c r="E108" s="73">
        <v>11</v>
      </c>
      <c r="F108" s="74">
        <f t="shared" si="6"/>
        <v>0.55000000000000004</v>
      </c>
      <c r="G108" s="73">
        <f t="shared" si="7"/>
        <v>2.75</v>
      </c>
      <c r="H108" s="73" t="s">
        <v>205</v>
      </c>
      <c r="I108" s="75"/>
      <c r="J108" s="73">
        <f>+Tabel24[[#This Row],[stk 5 dage buffer ]]*Tabel24[[#This Row],[inkøbspris pr stk]]</f>
        <v>0</v>
      </c>
      <c r="K108" s="70"/>
      <c r="L108" s="70"/>
      <c r="M108" s="70"/>
      <c r="N108" s="72" t="e">
        <f>Tabel24[[#This Row],[antal containere]]*N105</f>
        <v>#DIV/0!</v>
      </c>
    </row>
    <row r="109" spans="1:14" ht="20.100000000000001" customHeight="1" x14ac:dyDescent="0.25">
      <c r="A109" s="1" t="s">
        <v>401</v>
      </c>
      <c r="B109" s="73" t="s">
        <v>205</v>
      </c>
      <c r="C109" s="66" t="s">
        <v>126</v>
      </c>
      <c r="D109" s="66"/>
      <c r="E109" s="73">
        <v>4962</v>
      </c>
      <c r="F109" s="74">
        <f t="shared" si="6"/>
        <v>248.1</v>
      </c>
      <c r="G109" s="73">
        <f t="shared" si="7"/>
        <v>1240.5</v>
      </c>
      <c r="H109" s="73" t="s">
        <v>205</v>
      </c>
      <c r="I109" s="75"/>
      <c r="J109" s="73">
        <f>+Tabel24[[#This Row],[stk 5 dage buffer ]]*Tabel24[[#This Row],[inkøbspris pr stk]]</f>
        <v>0</v>
      </c>
      <c r="K109" s="70"/>
      <c r="L109" s="70"/>
      <c r="M109" s="70"/>
      <c r="N109" s="72" t="e">
        <f>Tabel24[[#This Row],[antal containere]]*N106</f>
        <v>#DIV/0!</v>
      </c>
    </row>
    <row r="110" spans="1:14" ht="20.100000000000001" customHeight="1" x14ac:dyDescent="0.25">
      <c r="A110" s="1" t="s">
        <v>402</v>
      </c>
      <c r="B110" s="73" t="s">
        <v>205</v>
      </c>
      <c r="C110" s="66" t="s">
        <v>127</v>
      </c>
      <c r="D110" s="66"/>
      <c r="E110" s="73">
        <v>611</v>
      </c>
      <c r="F110" s="74">
        <f t="shared" si="6"/>
        <v>30.55</v>
      </c>
      <c r="G110" s="73">
        <f t="shared" si="7"/>
        <v>152.75</v>
      </c>
      <c r="H110" s="73" t="s">
        <v>205</v>
      </c>
      <c r="I110" s="75"/>
      <c r="J110" s="73">
        <f>+Tabel24[[#This Row],[stk 5 dage buffer ]]*Tabel24[[#This Row],[inkøbspris pr stk]]</f>
        <v>0</v>
      </c>
      <c r="K110" s="70"/>
      <c r="L110" s="70"/>
      <c r="M110" s="70"/>
      <c r="N110" s="72" t="e">
        <f>Tabel24[[#This Row],[antal containere]]*N107</f>
        <v>#DIV/0!</v>
      </c>
    </row>
    <row r="111" spans="1:14" ht="20.100000000000001" customHeight="1" x14ac:dyDescent="0.25">
      <c r="A111" s="1" t="s">
        <v>403</v>
      </c>
      <c r="B111" s="73" t="s">
        <v>205</v>
      </c>
      <c r="C111" s="66" t="s">
        <v>128</v>
      </c>
      <c r="D111" s="66"/>
      <c r="E111" s="73">
        <v>1473</v>
      </c>
      <c r="F111" s="74">
        <f t="shared" si="6"/>
        <v>73.650000000000006</v>
      </c>
      <c r="G111" s="73">
        <f t="shared" si="7"/>
        <v>368.25</v>
      </c>
      <c r="H111" s="73" t="s">
        <v>205</v>
      </c>
      <c r="I111" s="75"/>
      <c r="J111" s="73">
        <f>+Tabel24[[#This Row],[stk 5 dage buffer ]]*Tabel24[[#This Row],[inkøbspris pr stk]]</f>
        <v>0</v>
      </c>
      <c r="K111" s="70"/>
      <c r="L111" s="70"/>
      <c r="M111" s="70"/>
      <c r="N111" s="72" t="e">
        <f>Tabel24[[#This Row],[antal containere]]*N108</f>
        <v>#DIV/0!</v>
      </c>
    </row>
    <row r="112" spans="1:14" ht="20.100000000000001" customHeight="1" x14ac:dyDescent="0.25">
      <c r="A112" s="1" t="s">
        <v>404</v>
      </c>
      <c r="B112" s="73" t="s">
        <v>205</v>
      </c>
      <c r="C112" s="66" t="s">
        <v>129</v>
      </c>
      <c r="D112" s="66"/>
      <c r="E112" s="73">
        <v>13</v>
      </c>
      <c r="F112" s="74">
        <f t="shared" si="6"/>
        <v>0.65</v>
      </c>
      <c r="G112" s="73">
        <f t="shared" si="7"/>
        <v>3.25</v>
      </c>
      <c r="H112" s="73" t="s">
        <v>205</v>
      </c>
      <c r="I112" s="75"/>
      <c r="J112" s="73">
        <f>+Tabel24[[#This Row],[stk 5 dage buffer ]]*Tabel24[[#This Row],[inkøbspris pr stk]]</f>
        <v>0</v>
      </c>
      <c r="K112" s="70"/>
      <c r="L112" s="70"/>
      <c r="M112" s="70"/>
      <c r="N112" s="72" t="e">
        <f>Tabel24[[#This Row],[antal containere]]*N109</f>
        <v>#DIV/0!</v>
      </c>
    </row>
    <row r="113" spans="1:14" ht="20.100000000000001" customHeight="1" x14ac:dyDescent="0.25">
      <c r="A113" s="1" t="s">
        <v>405</v>
      </c>
      <c r="B113" s="73" t="s">
        <v>205</v>
      </c>
      <c r="C113" s="66" t="s">
        <v>130</v>
      </c>
      <c r="D113" s="66"/>
      <c r="E113" s="73">
        <v>1335</v>
      </c>
      <c r="F113" s="74">
        <f t="shared" si="6"/>
        <v>66.75</v>
      </c>
      <c r="G113" s="73">
        <f t="shared" si="7"/>
        <v>333.75</v>
      </c>
      <c r="H113" s="73" t="s">
        <v>205</v>
      </c>
      <c r="I113" s="75"/>
      <c r="J113" s="73">
        <f>+Tabel24[[#This Row],[stk 5 dage buffer ]]*Tabel24[[#This Row],[inkøbspris pr stk]]</f>
        <v>0</v>
      </c>
      <c r="K113" s="70"/>
      <c r="L113" s="70"/>
      <c r="M113" s="70"/>
      <c r="N113" s="72" t="e">
        <f>Tabel24[[#This Row],[antal containere]]*N110</f>
        <v>#DIV/0!</v>
      </c>
    </row>
    <row r="114" spans="1:14" ht="20.100000000000001" customHeight="1" x14ac:dyDescent="0.25">
      <c r="A114" s="1" t="s">
        <v>406</v>
      </c>
      <c r="B114" s="73" t="s">
        <v>205</v>
      </c>
      <c r="C114" s="66" t="s">
        <v>131</v>
      </c>
      <c r="D114" s="66"/>
      <c r="E114" s="73">
        <v>17</v>
      </c>
      <c r="F114" s="74">
        <f t="shared" si="6"/>
        <v>0.85</v>
      </c>
      <c r="G114" s="73">
        <f t="shared" si="7"/>
        <v>4.25</v>
      </c>
      <c r="H114" s="73" t="s">
        <v>205</v>
      </c>
      <c r="I114" s="75"/>
      <c r="J114" s="73">
        <f>+Tabel24[[#This Row],[stk 5 dage buffer ]]*Tabel24[[#This Row],[inkøbspris pr stk]]</f>
        <v>0</v>
      </c>
      <c r="K114" s="70"/>
      <c r="L114" s="70"/>
      <c r="M114" s="70"/>
      <c r="N114" s="72" t="e">
        <f>Tabel24[[#This Row],[antal containere]]*N111</f>
        <v>#DIV/0!</v>
      </c>
    </row>
    <row r="115" spans="1:14" ht="20.100000000000001" customHeight="1" x14ac:dyDescent="0.25">
      <c r="A115" s="1" t="s">
        <v>403</v>
      </c>
      <c r="B115" s="50" t="s">
        <v>205</v>
      </c>
      <c r="C115" s="47" t="s">
        <v>167</v>
      </c>
      <c r="D115" s="47"/>
      <c r="E115" s="48"/>
      <c r="F115" s="49">
        <f t="shared" si="6"/>
        <v>0</v>
      </c>
      <c r="G115" s="50">
        <f t="shared" si="7"/>
        <v>0</v>
      </c>
      <c r="H115" s="50" t="s">
        <v>205</v>
      </c>
      <c r="I115" s="51"/>
      <c r="J115" s="50">
        <f>+Tabel24[[#This Row],[stk 5 dage buffer ]]*Tabel24[[#This Row],[inkøbspris pr stk]]</f>
        <v>0</v>
      </c>
      <c r="K115" s="41"/>
      <c r="L115" s="41"/>
      <c r="M115" s="41" t="e">
        <f>Tabel24[[#This Row],[Investering]]/Tabel24[[#This Row],[stk pr container]]</f>
        <v>#DIV/0!</v>
      </c>
      <c r="N115" s="42" t="e">
        <f>Tabel24[[#This Row],[antal containere]]*N112</f>
        <v>#DIV/0!</v>
      </c>
    </row>
    <row r="116" spans="1:14" ht="20.100000000000001" customHeight="1" x14ac:dyDescent="0.25">
      <c r="A116" s="1" t="s">
        <v>407</v>
      </c>
      <c r="B116" s="73" t="s">
        <v>205</v>
      </c>
      <c r="C116" s="66" t="s">
        <v>132</v>
      </c>
      <c r="D116" s="66"/>
      <c r="E116" s="73">
        <v>191</v>
      </c>
      <c r="F116" s="74">
        <f t="shared" si="6"/>
        <v>9.5500000000000007</v>
      </c>
      <c r="G116" s="73">
        <f t="shared" si="7"/>
        <v>47.75</v>
      </c>
      <c r="H116" s="73" t="s">
        <v>205</v>
      </c>
      <c r="I116" s="75"/>
      <c r="J116" s="73">
        <f>+Tabel24[[#This Row],[stk 5 dage buffer ]]*Tabel24[[#This Row],[inkøbspris pr stk]]</f>
        <v>0</v>
      </c>
      <c r="K116" s="70"/>
      <c r="L116" s="70"/>
      <c r="M116" s="70"/>
      <c r="N116" s="72" t="e">
        <f>Tabel24[[#This Row],[antal containere]]*N113</f>
        <v>#DIV/0!</v>
      </c>
    </row>
    <row r="117" spans="1:14" ht="20.100000000000001" customHeight="1" x14ac:dyDescent="0.25">
      <c r="A117" s="1" t="s">
        <v>408</v>
      </c>
      <c r="B117" s="73" t="s">
        <v>205</v>
      </c>
      <c r="C117" s="66" t="s">
        <v>133</v>
      </c>
      <c r="D117" s="66"/>
      <c r="E117" s="73">
        <v>241</v>
      </c>
      <c r="F117" s="74">
        <f t="shared" si="6"/>
        <v>12.05</v>
      </c>
      <c r="G117" s="73">
        <f t="shared" si="7"/>
        <v>60.25</v>
      </c>
      <c r="H117" s="73" t="s">
        <v>205</v>
      </c>
      <c r="I117" s="75"/>
      <c r="J117" s="73">
        <f>+Tabel24[[#This Row],[stk 5 dage buffer ]]*Tabel24[[#This Row],[inkøbspris pr stk]]</f>
        <v>0</v>
      </c>
      <c r="K117" s="70"/>
      <c r="L117" s="70"/>
      <c r="M117" s="70"/>
      <c r="N117" s="72" t="e">
        <f>Tabel24[[#This Row],[antal containere]]*N114</f>
        <v>#DIV/0!</v>
      </c>
    </row>
    <row r="118" spans="1:14" ht="20.100000000000001" customHeight="1" x14ac:dyDescent="0.25">
      <c r="A118" s="1" t="s">
        <v>409</v>
      </c>
      <c r="B118" s="73" t="s">
        <v>205</v>
      </c>
      <c r="C118" s="66" t="s">
        <v>134</v>
      </c>
      <c r="D118" s="66"/>
      <c r="E118" s="73">
        <v>1099</v>
      </c>
      <c r="F118" s="74">
        <f t="shared" si="6"/>
        <v>54.95</v>
      </c>
      <c r="G118" s="73">
        <f t="shared" si="7"/>
        <v>274.75</v>
      </c>
      <c r="H118" s="73" t="s">
        <v>205</v>
      </c>
      <c r="I118" s="75"/>
      <c r="J118" s="73">
        <f>+Tabel24[[#This Row],[stk 5 dage buffer ]]*Tabel24[[#This Row],[inkøbspris pr stk]]</f>
        <v>0</v>
      </c>
      <c r="K118" s="70"/>
      <c r="L118" s="70"/>
      <c r="M118" s="70"/>
      <c r="N118" s="72" t="e">
        <f>Tabel24[[#This Row],[antal containere]]*N115</f>
        <v>#DIV/0!</v>
      </c>
    </row>
    <row r="119" spans="1:14" ht="20.100000000000001" customHeight="1" x14ac:dyDescent="0.25">
      <c r="A119" s="1" t="s">
        <v>410</v>
      </c>
      <c r="B119" s="73" t="s">
        <v>205</v>
      </c>
      <c r="C119" s="66" t="s">
        <v>135</v>
      </c>
      <c r="D119" s="66"/>
      <c r="E119" s="73">
        <v>1</v>
      </c>
      <c r="F119" s="74">
        <f t="shared" si="6"/>
        <v>0.05</v>
      </c>
      <c r="G119" s="73">
        <f t="shared" si="7"/>
        <v>0.25</v>
      </c>
      <c r="H119" s="73" t="s">
        <v>205</v>
      </c>
      <c r="I119" s="75"/>
      <c r="J119" s="73">
        <f>+Tabel24[[#This Row],[stk 5 dage buffer ]]*Tabel24[[#This Row],[inkøbspris pr stk]]</f>
        <v>0</v>
      </c>
      <c r="K119" s="70"/>
      <c r="L119" s="70"/>
      <c r="M119" s="70"/>
      <c r="N119" s="72" t="e">
        <f>Tabel24[[#This Row],[antal containere]]*N116</f>
        <v>#DIV/0!</v>
      </c>
    </row>
    <row r="120" spans="1:14" ht="20.100000000000001" customHeight="1" x14ac:dyDescent="0.25">
      <c r="A120" s="1" t="s">
        <v>411</v>
      </c>
      <c r="B120" s="73" t="s">
        <v>205</v>
      </c>
      <c r="C120" s="66" t="s">
        <v>136</v>
      </c>
      <c r="D120" s="66"/>
      <c r="E120" s="73">
        <v>442</v>
      </c>
      <c r="F120" s="74">
        <f t="shared" si="6"/>
        <v>22.1</v>
      </c>
      <c r="G120" s="73">
        <f t="shared" si="7"/>
        <v>110.5</v>
      </c>
      <c r="H120" s="73" t="s">
        <v>205</v>
      </c>
      <c r="I120" s="75"/>
      <c r="J120" s="73">
        <f>+Tabel24[[#This Row],[stk 5 dage buffer ]]*Tabel24[[#This Row],[inkøbspris pr stk]]</f>
        <v>0</v>
      </c>
      <c r="K120" s="70"/>
      <c r="L120" s="70"/>
      <c r="M120" s="70"/>
      <c r="N120" s="72" t="e">
        <f>Tabel24[[#This Row],[antal containere]]*N117</f>
        <v>#DIV/0!</v>
      </c>
    </row>
    <row r="121" spans="1:14" ht="20.100000000000001" customHeight="1" x14ac:dyDescent="0.25">
      <c r="A121" s="1" t="s">
        <v>412</v>
      </c>
      <c r="B121" s="73" t="s">
        <v>205</v>
      </c>
      <c r="C121" s="66" t="s">
        <v>137</v>
      </c>
      <c r="D121" s="66"/>
      <c r="E121" s="73">
        <v>238</v>
      </c>
      <c r="F121" s="74">
        <f t="shared" si="6"/>
        <v>11.9</v>
      </c>
      <c r="G121" s="73">
        <f t="shared" si="7"/>
        <v>59.5</v>
      </c>
      <c r="H121" s="73" t="s">
        <v>205</v>
      </c>
      <c r="I121" s="75"/>
      <c r="J121" s="73">
        <f>+Tabel24[[#This Row],[stk 5 dage buffer ]]*Tabel24[[#This Row],[inkøbspris pr stk]]</f>
        <v>0</v>
      </c>
      <c r="K121" s="70"/>
      <c r="L121" s="70"/>
      <c r="M121" s="70"/>
      <c r="N121" s="72" t="e">
        <f>Tabel24[[#This Row],[antal containere]]*N118</f>
        <v>#DIV/0!</v>
      </c>
    </row>
    <row r="122" spans="1:14" ht="20.100000000000001" customHeight="1" x14ac:dyDescent="0.25">
      <c r="A122" s="1" t="s">
        <v>413</v>
      </c>
      <c r="B122" s="73" t="s">
        <v>205</v>
      </c>
      <c r="C122" s="66" t="s">
        <v>138</v>
      </c>
      <c r="D122" s="66"/>
      <c r="E122" s="73">
        <v>909</v>
      </c>
      <c r="F122" s="74">
        <f t="shared" si="6"/>
        <v>45.45</v>
      </c>
      <c r="G122" s="73">
        <f t="shared" si="7"/>
        <v>227.25</v>
      </c>
      <c r="H122" s="73" t="s">
        <v>205</v>
      </c>
      <c r="I122" s="75"/>
      <c r="J122" s="73">
        <f>+Tabel24[[#This Row],[stk 5 dage buffer ]]*Tabel24[[#This Row],[inkøbspris pr stk]]</f>
        <v>0</v>
      </c>
      <c r="K122" s="70"/>
      <c r="L122" s="70"/>
      <c r="M122" s="70"/>
      <c r="N122" s="72" t="e">
        <f>Tabel24[[#This Row],[antal containere]]*N119</f>
        <v>#DIV/0!</v>
      </c>
    </row>
    <row r="123" spans="1:14" ht="20.100000000000001" customHeight="1" x14ac:dyDescent="0.25">
      <c r="A123" s="1" t="s">
        <v>414</v>
      </c>
      <c r="B123" s="73" t="s">
        <v>205</v>
      </c>
      <c r="C123" s="66" t="s">
        <v>139</v>
      </c>
      <c r="D123" s="66"/>
      <c r="E123" s="73">
        <v>76</v>
      </c>
      <c r="F123" s="74">
        <f t="shared" si="6"/>
        <v>3.8</v>
      </c>
      <c r="G123" s="73">
        <f t="shared" si="7"/>
        <v>19</v>
      </c>
      <c r="H123" s="73" t="s">
        <v>205</v>
      </c>
      <c r="I123" s="75"/>
      <c r="J123" s="73">
        <f>+Tabel24[[#This Row],[stk 5 dage buffer ]]*Tabel24[[#This Row],[inkøbspris pr stk]]</f>
        <v>0</v>
      </c>
      <c r="K123" s="70"/>
      <c r="L123" s="70"/>
      <c r="M123" s="70"/>
      <c r="N123" s="72" t="e">
        <f>Tabel24[[#This Row],[antal containere]]*N120</f>
        <v>#DIV/0!</v>
      </c>
    </row>
    <row r="124" spans="1:14" ht="20.100000000000001" customHeight="1" x14ac:dyDescent="0.25">
      <c r="A124" s="1" t="s">
        <v>415</v>
      </c>
      <c r="B124" s="73" t="s">
        <v>205</v>
      </c>
      <c r="C124" s="66" t="s">
        <v>140</v>
      </c>
      <c r="D124" s="66"/>
      <c r="E124" s="73">
        <v>237</v>
      </c>
      <c r="F124" s="74">
        <f t="shared" si="6"/>
        <v>11.85</v>
      </c>
      <c r="G124" s="73">
        <f t="shared" si="7"/>
        <v>59.25</v>
      </c>
      <c r="H124" s="73" t="s">
        <v>205</v>
      </c>
      <c r="I124" s="75"/>
      <c r="J124" s="73">
        <f>+Tabel24[[#This Row],[stk 5 dage buffer ]]*Tabel24[[#This Row],[inkøbspris pr stk]]</f>
        <v>0</v>
      </c>
      <c r="K124" s="70"/>
      <c r="L124" s="70"/>
      <c r="M124" s="70"/>
      <c r="N124" s="72" t="e">
        <f>Tabel24[[#This Row],[antal containere]]*N121</f>
        <v>#DIV/0!</v>
      </c>
    </row>
    <row r="125" spans="1:14" ht="20.100000000000001" customHeight="1" x14ac:dyDescent="0.25">
      <c r="A125" s="1" t="s">
        <v>416</v>
      </c>
      <c r="B125" s="73" t="s">
        <v>205</v>
      </c>
      <c r="C125" s="66" t="s">
        <v>141</v>
      </c>
      <c r="D125" s="66"/>
      <c r="E125" s="73">
        <v>268</v>
      </c>
      <c r="F125" s="74">
        <f t="shared" si="6"/>
        <v>13.4</v>
      </c>
      <c r="G125" s="73">
        <f t="shared" si="7"/>
        <v>67</v>
      </c>
      <c r="H125" s="73" t="s">
        <v>205</v>
      </c>
      <c r="I125" s="75"/>
      <c r="J125" s="73">
        <f>+Tabel24[[#This Row],[stk 5 dage buffer ]]*Tabel24[[#This Row],[inkøbspris pr stk]]</f>
        <v>0</v>
      </c>
      <c r="K125" s="70"/>
      <c r="L125" s="70"/>
      <c r="M125" s="70"/>
      <c r="N125" s="72" t="e">
        <f>Tabel24[[#This Row],[antal containere]]*N122</f>
        <v>#DIV/0!</v>
      </c>
    </row>
    <row r="126" spans="1:14" ht="20.100000000000001" customHeight="1" x14ac:dyDescent="0.25">
      <c r="A126" s="1" t="s">
        <v>417</v>
      </c>
      <c r="B126" s="73" t="s">
        <v>205</v>
      </c>
      <c r="C126" s="66" t="s">
        <v>142</v>
      </c>
      <c r="D126" s="66"/>
      <c r="E126" s="73">
        <v>6</v>
      </c>
      <c r="F126" s="74">
        <f t="shared" si="6"/>
        <v>0.3</v>
      </c>
      <c r="G126" s="73">
        <f t="shared" si="7"/>
        <v>1.5</v>
      </c>
      <c r="H126" s="73" t="s">
        <v>205</v>
      </c>
      <c r="I126" s="75"/>
      <c r="J126" s="73">
        <f>+Tabel24[[#This Row],[stk 5 dage buffer ]]*Tabel24[[#This Row],[inkøbspris pr stk]]</f>
        <v>0</v>
      </c>
      <c r="K126" s="70"/>
      <c r="L126" s="70"/>
      <c r="M126" s="70"/>
      <c r="N126" s="72" t="e">
        <f>Tabel24[[#This Row],[antal containere]]*N123</f>
        <v>#DIV/0!</v>
      </c>
    </row>
    <row r="127" spans="1:14" ht="20.100000000000001" customHeight="1" x14ac:dyDescent="0.25">
      <c r="A127" s="1" t="s">
        <v>418</v>
      </c>
      <c r="B127" s="73" t="s">
        <v>205</v>
      </c>
      <c r="C127" s="66" t="s">
        <v>143</v>
      </c>
      <c r="D127" s="66"/>
      <c r="E127" s="73">
        <v>36</v>
      </c>
      <c r="F127" s="74">
        <f t="shared" si="6"/>
        <v>1.8</v>
      </c>
      <c r="G127" s="73">
        <f t="shared" si="7"/>
        <v>9</v>
      </c>
      <c r="H127" s="73" t="s">
        <v>205</v>
      </c>
      <c r="I127" s="75"/>
      <c r="J127" s="73">
        <f>+Tabel24[[#This Row],[stk 5 dage buffer ]]*Tabel24[[#This Row],[inkøbspris pr stk]]</f>
        <v>0</v>
      </c>
      <c r="K127" s="70"/>
      <c r="L127" s="70"/>
      <c r="M127" s="70"/>
      <c r="N127" s="72" t="e">
        <f>Tabel24[[#This Row],[antal containere]]*N124</f>
        <v>#DIV/0!</v>
      </c>
    </row>
    <row r="128" spans="1:14" ht="20.100000000000001" customHeight="1" x14ac:dyDescent="0.25">
      <c r="A128" s="1" t="s">
        <v>419</v>
      </c>
      <c r="B128" s="73" t="s">
        <v>205</v>
      </c>
      <c r="C128" s="66" t="s">
        <v>144</v>
      </c>
      <c r="D128" s="66"/>
      <c r="E128" s="73">
        <v>15</v>
      </c>
      <c r="F128" s="74">
        <f t="shared" si="6"/>
        <v>0.75</v>
      </c>
      <c r="G128" s="73">
        <f t="shared" si="7"/>
        <v>3.75</v>
      </c>
      <c r="H128" s="73" t="s">
        <v>205</v>
      </c>
      <c r="I128" s="75"/>
      <c r="J128" s="73">
        <f>+Tabel24[[#This Row],[stk 5 dage buffer ]]*Tabel24[[#This Row],[inkøbspris pr stk]]</f>
        <v>0</v>
      </c>
      <c r="K128" s="70"/>
      <c r="L128" s="70"/>
      <c r="M128" s="70"/>
      <c r="N128" s="72" t="e">
        <f>Tabel24[[#This Row],[antal containere]]*N125</f>
        <v>#DIV/0!</v>
      </c>
    </row>
    <row r="129" spans="1:14" ht="20.100000000000001" customHeight="1" x14ac:dyDescent="0.25">
      <c r="A129" s="1" t="s">
        <v>420</v>
      </c>
      <c r="B129" s="73" t="s">
        <v>205</v>
      </c>
      <c r="C129" s="66" t="s">
        <v>145</v>
      </c>
      <c r="D129" s="66"/>
      <c r="E129" s="73">
        <v>7</v>
      </c>
      <c r="F129" s="74">
        <f t="shared" si="6"/>
        <v>0.35</v>
      </c>
      <c r="G129" s="73">
        <f t="shared" si="7"/>
        <v>1.75</v>
      </c>
      <c r="H129" s="73" t="s">
        <v>205</v>
      </c>
      <c r="I129" s="75"/>
      <c r="J129" s="73">
        <f>+Tabel24[[#This Row],[stk 5 dage buffer ]]*Tabel24[[#This Row],[inkøbspris pr stk]]</f>
        <v>0</v>
      </c>
      <c r="K129" s="70"/>
      <c r="L129" s="70"/>
      <c r="M129" s="70"/>
      <c r="N129" s="72" t="e">
        <f>Tabel24[[#This Row],[antal containere]]*N126</f>
        <v>#DIV/0!</v>
      </c>
    </row>
    <row r="130" spans="1:14" ht="20.100000000000001" customHeight="1" x14ac:dyDescent="0.25">
      <c r="A130" s="1" t="s">
        <v>421</v>
      </c>
      <c r="B130" s="73" t="s">
        <v>205</v>
      </c>
      <c r="C130" s="66" t="s">
        <v>146</v>
      </c>
      <c r="D130" s="66"/>
      <c r="E130" s="73">
        <v>109</v>
      </c>
      <c r="F130" s="74">
        <f t="shared" si="6"/>
        <v>5.45</v>
      </c>
      <c r="G130" s="73">
        <f t="shared" si="7"/>
        <v>27.25</v>
      </c>
      <c r="H130" s="73" t="s">
        <v>205</v>
      </c>
      <c r="I130" s="75"/>
      <c r="J130" s="73">
        <f>+Tabel24[[#This Row],[stk 5 dage buffer ]]*Tabel24[[#This Row],[inkøbspris pr stk]]</f>
        <v>0</v>
      </c>
      <c r="K130" s="70"/>
      <c r="L130" s="70"/>
      <c r="M130" s="70"/>
      <c r="N130" s="72" t="e">
        <f>Tabel24[[#This Row],[antal containere]]*N127</f>
        <v>#DIV/0!</v>
      </c>
    </row>
    <row r="131" spans="1:14" ht="20.100000000000001" customHeight="1" x14ac:dyDescent="0.25">
      <c r="A131" s="1" t="s">
        <v>422</v>
      </c>
      <c r="B131" s="50" t="s">
        <v>205</v>
      </c>
      <c r="C131" s="47" t="s">
        <v>183</v>
      </c>
      <c r="D131" s="47"/>
      <c r="E131" s="48"/>
      <c r="F131" s="49">
        <f t="shared" si="6"/>
        <v>0</v>
      </c>
      <c r="G131" s="50">
        <f t="shared" si="7"/>
        <v>0</v>
      </c>
      <c r="H131" s="50" t="s">
        <v>205</v>
      </c>
      <c r="I131" s="51"/>
      <c r="J131" s="50">
        <f>+Tabel24[[#This Row],[stk 5 dage buffer ]]*Tabel24[[#This Row],[inkøbspris pr stk]]</f>
        <v>0</v>
      </c>
      <c r="K131" s="41"/>
      <c r="L131" s="41"/>
      <c r="M131" s="41" t="e">
        <f>Tabel24[[#This Row],[Investering]]/Tabel24[[#This Row],[stk pr container]]</f>
        <v>#DIV/0!</v>
      </c>
      <c r="N131" s="42" t="e">
        <f>Tabel24[[#This Row],[antal containere]]*N128</f>
        <v>#DIV/0!</v>
      </c>
    </row>
    <row r="132" spans="1:14" ht="20.100000000000001" customHeight="1" x14ac:dyDescent="0.25">
      <c r="A132" s="1" t="s">
        <v>423</v>
      </c>
      <c r="B132" s="73" t="s">
        <v>205</v>
      </c>
      <c r="C132" s="66" t="s">
        <v>147</v>
      </c>
      <c r="D132" s="66"/>
      <c r="E132" s="73">
        <v>47</v>
      </c>
      <c r="F132" s="74">
        <f t="shared" ref="F132:F163" si="8">+E132/+$F$2</f>
        <v>2.35</v>
      </c>
      <c r="G132" s="73">
        <f t="shared" ref="G132:G163" si="9">+F132*$F$1</f>
        <v>11.75</v>
      </c>
      <c r="H132" s="73" t="s">
        <v>205</v>
      </c>
      <c r="I132" s="75"/>
      <c r="J132" s="73">
        <f>+Tabel24[[#This Row],[stk 5 dage buffer ]]*Tabel24[[#This Row],[inkøbspris pr stk]]</f>
        <v>0</v>
      </c>
      <c r="K132" s="70"/>
      <c r="L132" s="70"/>
      <c r="M132" s="70"/>
      <c r="N132" s="72" t="e">
        <f>Tabel24[[#This Row],[antal containere]]*N129</f>
        <v>#DIV/0!</v>
      </c>
    </row>
    <row r="133" spans="1:14" ht="20.100000000000001" customHeight="1" x14ac:dyDescent="0.25">
      <c r="A133" s="1" t="s">
        <v>424</v>
      </c>
      <c r="B133" s="73" t="s">
        <v>205</v>
      </c>
      <c r="C133" s="66" t="s">
        <v>148</v>
      </c>
      <c r="D133" s="66"/>
      <c r="E133" s="73">
        <v>234</v>
      </c>
      <c r="F133" s="74">
        <f t="shared" si="8"/>
        <v>11.7</v>
      </c>
      <c r="G133" s="73">
        <f t="shared" si="9"/>
        <v>58.5</v>
      </c>
      <c r="H133" s="73" t="s">
        <v>205</v>
      </c>
      <c r="I133" s="75"/>
      <c r="J133" s="73">
        <f>+Tabel24[[#This Row],[stk 5 dage buffer ]]*Tabel24[[#This Row],[inkøbspris pr stk]]</f>
        <v>0</v>
      </c>
      <c r="K133" s="70"/>
      <c r="L133" s="70"/>
      <c r="M133" s="70"/>
      <c r="N133" s="72" t="e">
        <f>Tabel24[[#This Row],[antal containere]]*N130</f>
        <v>#DIV/0!</v>
      </c>
    </row>
    <row r="134" spans="1:14" ht="20.100000000000001" customHeight="1" x14ac:dyDescent="0.25">
      <c r="A134" s="1" t="s">
        <v>425</v>
      </c>
      <c r="B134" s="73" t="s">
        <v>205</v>
      </c>
      <c r="C134" s="66" t="s">
        <v>149</v>
      </c>
      <c r="D134" s="66"/>
      <c r="E134" s="73">
        <v>200</v>
      </c>
      <c r="F134" s="74">
        <f t="shared" si="8"/>
        <v>10</v>
      </c>
      <c r="G134" s="73">
        <f t="shared" si="9"/>
        <v>50</v>
      </c>
      <c r="H134" s="73" t="s">
        <v>205</v>
      </c>
      <c r="I134" s="75"/>
      <c r="J134" s="73">
        <f>+Tabel24[[#This Row],[stk 5 dage buffer ]]*Tabel24[[#This Row],[inkøbspris pr stk]]</f>
        <v>0</v>
      </c>
      <c r="K134" s="70"/>
      <c r="L134" s="70"/>
      <c r="M134" s="70"/>
      <c r="N134" s="72" t="e">
        <f>Tabel24[[#This Row],[antal containere]]*N131</f>
        <v>#DIV/0!</v>
      </c>
    </row>
    <row r="135" spans="1:14" ht="20.100000000000001" customHeight="1" x14ac:dyDescent="0.25">
      <c r="A135" s="1" t="s">
        <v>426</v>
      </c>
      <c r="B135" s="73" t="s">
        <v>205</v>
      </c>
      <c r="C135" s="66" t="s">
        <v>150</v>
      </c>
      <c r="D135" s="66"/>
      <c r="E135" s="73">
        <v>549</v>
      </c>
      <c r="F135" s="74">
        <f t="shared" si="8"/>
        <v>27.45</v>
      </c>
      <c r="G135" s="73">
        <f t="shared" si="9"/>
        <v>137.25</v>
      </c>
      <c r="H135" s="73" t="s">
        <v>205</v>
      </c>
      <c r="I135" s="75"/>
      <c r="J135" s="73">
        <f>+Tabel24[[#This Row],[stk 5 dage buffer ]]*Tabel24[[#This Row],[inkøbspris pr stk]]</f>
        <v>0</v>
      </c>
      <c r="K135" s="70"/>
      <c r="L135" s="70"/>
      <c r="M135" s="70"/>
      <c r="N135" s="72" t="e">
        <f>Tabel24[[#This Row],[antal containere]]*N132</f>
        <v>#DIV/0!</v>
      </c>
    </row>
    <row r="136" spans="1:14" ht="20.100000000000001" customHeight="1" x14ac:dyDescent="0.25">
      <c r="A136" s="1" t="s">
        <v>427</v>
      </c>
      <c r="B136" s="73" t="s">
        <v>205</v>
      </c>
      <c r="C136" s="66" t="s">
        <v>151</v>
      </c>
      <c r="D136" s="66"/>
      <c r="E136" s="73">
        <v>1102</v>
      </c>
      <c r="F136" s="74">
        <f t="shared" si="8"/>
        <v>55.1</v>
      </c>
      <c r="G136" s="73">
        <f t="shared" si="9"/>
        <v>275.5</v>
      </c>
      <c r="H136" s="73" t="s">
        <v>205</v>
      </c>
      <c r="I136" s="75"/>
      <c r="J136" s="73">
        <f>+Tabel24[[#This Row],[stk 5 dage buffer ]]*Tabel24[[#This Row],[inkøbspris pr stk]]</f>
        <v>0</v>
      </c>
      <c r="K136" s="70"/>
      <c r="L136" s="70"/>
      <c r="M136" s="70"/>
      <c r="N136" s="72" t="e">
        <f>Tabel24[[#This Row],[antal containere]]*N133</f>
        <v>#DIV/0!</v>
      </c>
    </row>
    <row r="137" spans="1:14" ht="20.100000000000001" customHeight="1" x14ac:dyDescent="0.25">
      <c r="A137" s="1" t="s">
        <v>409</v>
      </c>
      <c r="B137" s="50" t="s">
        <v>205</v>
      </c>
      <c r="C137" s="47" t="s">
        <v>189</v>
      </c>
      <c r="D137" s="47"/>
      <c r="E137" s="48"/>
      <c r="F137" s="49">
        <f t="shared" si="8"/>
        <v>0</v>
      </c>
      <c r="G137" s="50">
        <f t="shared" si="9"/>
        <v>0</v>
      </c>
      <c r="H137" s="50" t="s">
        <v>205</v>
      </c>
      <c r="I137" s="51"/>
      <c r="J137" s="50">
        <f>+Tabel24[[#This Row],[stk 5 dage buffer ]]*Tabel24[[#This Row],[inkøbspris pr stk]]</f>
        <v>0</v>
      </c>
      <c r="K137" s="41"/>
      <c r="L137" s="41"/>
      <c r="M137" s="41" t="e">
        <f>Tabel24[[#This Row],[Investering]]/Tabel24[[#This Row],[stk pr container]]</f>
        <v>#DIV/0!</v>
      </c>
      <c r="N137" s="42" t="e">
        <f>Tabel24[[#This Row],[antal containere]]*N134</f>
        <v>#DIV/0!</v>
      </c>
    </row>
    <row r="138" spans="1:14" ht="20.100000000000001" customHeight="1" x14ac:dyDescent="0.25">
      <c r="A138" s="1" t="s">
        <v>428</v>
      </c>
      <c r="B138" s="73" t="s">
        <v>205</v>
      </c>
      <c r="C138" s="66" t="s">
        <v>152</v>
      </c>
      <c r="D138" s="66"/>
      <c r="E138" s="73">
        <v>226</v>
      </c>
      <c r="F138" s="74">
        <f t="shared" si="8"/>
        <v>11.3</v>
      </c>
      <c r="G138" s="73">
        <f t="shared" si="9"/>
        <v>56.5</v>
      </c>
      <c r="H138" s="73" t="s">
        <v>205</v>
      </c>
      <c r="I138" s="75"/>
      <c r="J138" s="73">
        <f>+Tabel24[[#This Row],[stk 5 dage buffer ]]*Tabel24[[#This Row],[inkøbspris pr stk]]</f>
        <v>0</v>
      </c>
      <c r="K138" s="70"/>
      <c r="L138" s="70"/>
      <c r="M138" s="70"/>
      <c r="N138" s="72" t="e">
        <f>Tabel24[[#This Row],[antal containere]]*N135</f>
        <v>#DIV/0!</v>
      </c>
    </row>
    <row r="139" spans="1:14" ht="20.100000000000001" customHeight="1" x14ac:dyDescent="0.25">
      <c r="A139" s="1" t="s">
        <v>429</v>
      </c>
      <c r="B139" s="73" t="s">
        <v>205</v>
      </c>
      <c r="C139" s="66" t="s">
        <v>153</v>
      </c>
      <c r="D139" s="66"/>
      <c r="E139" s="73">
        <v>50</v>
      </c>
      <c r="F139" s="74">
        <f t="shared" si="8"/>
        <v>2.5</v>
      </c>
      <c r="G139" s="73">
        <f t="shared" si="9"/>
        <v>12.5</v>
      </c>
      <c r="H139" s="73" t="s">
        <v>205</v>
      </c>
      <c r="I139" s="75"/>
      <c r="J139" s="73">
        <f>+Tabel24[[#This Row],[stk 5 dage buffer ]]*Tabel24[[#This Row],[inkøbspris pr stk]]</f>
        <v>0</v>
      </c>
      <c r="K139" s="70"/>
      <c r="L139" s="70"/>
      <c r="M139" s="70"/>
      <c r="N139" s="72" t="e">
        <f>Tabel24[[#This Row],[antal containere]]*N136</f>
        <v>#DIV/0!</v>
      </c>
    </row>
    <row r="140" spans="1:14" ht="20.100000000000001" customHeight="1" x14ac:dyDescent="0.25">
      <c r="A140" s="1" t="s">
        <v>430</v>
      </c>
      <c r="B140" s="73" t="s">
        <v>205</v>
      </c>
      <c r="C140" s="66" t="s">
        <v>154</v>
      </c>
      <c r="D140" s="66"/>
      <c r="E140" s="73">
        <v>759</v>
      </c>
      <c r="F140" s="74">
        <f t="shared" si="8"/>
        <v>37.950000000000003</v>
      </c>
      <c r="G140" s="73">
        <f t="shared" si="9"/>
        <v>189.75</v>
      </c>
      <c r="H140" s="73" t="s">
        <v>205</v>
      </c>
      <c r="I140" s="75"/>
      <c r="J140" s="73">
        <f>+Tabel24[[#This Row],[stk 5 dage buffer ]]*Tabel24[[#This Row],[inkøbspris pr stk]]</f>
        <v>0</v>
      </c>
      <c r="K140" s="70"/>
      <c r="L140" s="70"/>
      <c r="M140" s="70"/>
      <c r="N140" s="72" t="e">
        <f>Tabel24[[#This Row],[antal containere]]*N137</f>
        <v>#DIV/0!</v>
      </c>
    </row>
    <row r="141" spans="1:14" ht="20.100000000000001" customHeight="1" x14ac:dyDescent="0.25">
      <c r="A141" s="1" t="s">
        <v>415</v>
      </c>
      <c r="B141" s="73" t="s">
        <v>205</v>
      </c>
      <c r="C141" s="66" t="s">
        <v>155</v>
      </c>
      <c r="D141" s="66"/>
      <c r="E141" s="73">
        <v>6011</v>
      </c>
      <c r="F141" s="74">
        <f t="shared" si="8"/>
        <v>300.55</v>
      </c>
      <c r="G141" s="73">
        <f t="shared" si="9"/>
        <v>1502.75</v>
      </c>
      <c r="H141" s="73" t="s">
        <v>205</v>
      </c>
      <c r="I141" s="75"/>
      <c r="J141" s="73">
        <f>+Tabel24[[#This Row],[stk 5 dage buffer ]]*Tabel24[[#This Row],[inkøbspris pr stk]]</f>
        <v>0</v>
      </c>
      <c r="K141" s="70"/>
      <c r="L141" s="70"/>
      <c r="M141" s="70"/>
      <c r="N141" s="72" t="e">
        <f>Tabel24[[#This Row],[antal containere]]*N138</f>
        <v>#DIV/0!</v>
      </c>
    </row>
    <row r="142" spans="1:14" ht="20.100000000000001" customHeight="1" x14ac:dyDescent="0.25">
      <c r="A142" s="1" t="s">
        <v>431</v>
      </c>
      <c r="B142" s="73" t="s">
        <v>205</v>
      </c>
      <c r="C142" s="66" t="s">
        <v>156</v>
      </c>
      <c r="D142" s="66"/>
      <c r="E142" s="73">
        <v>1204</v>
      </c>
      <c r="F142" s="74">
        <f t="shared" si="8"/>
        <v>60.2</v>
      </c>
      <c r="G142" s="73">
        <f t="shared" si="9"/>
        <v>301</v>
      </c>
      <c r="H142" s="73" t="s">
        <v>205</v>
      </c>
      <c r="I142" s="75"/>
      <c r="J142" s="73">
        <f>+Tabel24[[#This Row],[stk 5 dage buffer ]]*Tabel24[[#This Row],[inkøbspris pr stk]]</f>
        <v>0</v>
      </c>
      <c r="K142" s="70"/>
      <c r="L142" s="70"/>
      <c r="M142" s="70"/>
      <c r="N142" s="72" t="e">
        <f>Tabel24[[#This Row],[antal containere]]*N139</f>
        <v>#DIV/0!</v>
      </c>
    </row>
    <row r="143" spans="1:14" ht="20.100000000000001" customHeight="1" x14ac:dyDescent="0.25">
      <c r="A143" s="1" t="s">
        <v>432</v>
      </c>
      <c r="B143" s="73" t="s">
        <v>205</v>
      </c>
      <c r="C143" s="66" t="s">
        <v>157</v>
      </c>
      <c r="D143" s="66"/>
      <c r="E143" s="73">
        <v>371</v>
      </c>
      <c r="F143" s="74">
        <f t="shared" si="8"/>
        <v>18.55</v>
      </c>
      <c r="G143" s="73">
        <f t="shared" si="9"/>
        <v>92.75</v>
      </c>
      <c r="H143" s="73" t="s">
        <v>205</v>
      </c>
      <c r="I143" s="75"/>
      <c r="J143" s="73">
        <f>+Tabel24[[#This Row],[stk 5 dage buffer ]]*Tabel24[[#This Row],[inkøbspris pr stk]]</f>
        <v>0</v>
      </c>
      <c r="K143" s="70"/>
      <c r="L143" s="70"/>
      <c r="M143" s="70"/>
      <c r="N143" s="72" t="e">
        <f>Tabel24[[#This Row],[antal containere]]*N140</f>
        <v>#DIV/0!</v>
      </c>
    </row>
    <row r="144" spans="1:14" ht="20.100000000000001" customHeight="1" x14ac:dyDescent="0.25">
      <c r="A144" s="1" t="s">
        <v>433</v>
      </c>
      <c r="B144" s="73" t="s">
        <v>205</v>
      </c>
      <c r="C144" s="66" t="s">
        <v>158</v>
      </c>
      <c r="D144" s="66"/>
      <c r="E144" s="73">
        <v>1032</v>
      </c>
      <c r="F144" s="74">
        <f t="shared" si="8"/>
        <v>51.6</v>
      </c>
      <c r="G144" s="73">
        <f t="shared" si="9"/>
        <v>258</v>
      </c>
      <c r="H144" s="73" t="s">
        <v>205</v>
      </c>
      <c r="I144" s="75"/>
      <c r="J144" s="73">
        <f>+Tabel24[[#This Row],[stk 5 dage buffer ]]*Tabel24[[#This Row],[inkøbspris pr stk]]</f>
        <v>0</v>
      </c>
      <c r="K144" s="70"/>
      <c r="L144" s="70"/>
      <c r="M144" s="70"/>
      <c r="N144" s="72" t="e">
        <f>Tabel24[[#This Row],[antal containere]]*N141</f>
        <v>#DIV/0!</v>
      </c>
    </row>
    <row r="145" spans="1:14" ht="20.100000000000001" customHeight="1" x14ac:dyDescent="0.25">
      <c r="A145" s="1" t="s">
        <v>403</v>
      </c>
      <c r="B145" s="73" t="s">
        <v>205</v>
      </c>
      <c r="C145" s="66" t="s">
        <v>159</v>
      </c>
      <c r="D145" s="66"/>
      <c r="E145" s="73">
        <v>8</v>
      </c>
      <c r="F145" s="74">
        <f t="shared" si="8"/>
        <v>0.4</v>
      </c>
      <c r="G145" s="73">
        <f t="shared" si="9"/>
        <v>2</v>
      </c>
      <c r="H145" s="73" t="s">
        <v>205</v>
      </c>
      <c r="I145" s="75"/>
      <c r="J145" s="73">
        <f>+Tabel24[[#This Row],[stk 5 dage buffer ]]*Tabel24[[#This Row],[inkøbspris pr stk]]</f>
        <v>0</v>
      </c>
      <c r="K145" s="70"/>
      <c r="L145" s="70"/>
      <c r="M145" s="70"/>
      <c r="N145" s="72" t="e">
        <f>Tabel24[[#This Row],[antal containere]]*N142</f>
        <v>#DIV/0!</v>
      </c>
    </row>
    <row r="146" spans="1:14" ht="20.100000000000001" customHeight="1" x14ac:dyDescent="0.25">
      <c r="A146" s="1" t="s">
        <v>434</v>
      </c>
      <c r="B146" s="73" t="s">
        <v>205</v>
      </c>
      <c r="C146" s="66" t="s">
        <v>160</v>
      </c>
      <c r="D146" s="66"/>
      <c r="E146" s="73">
        <v>5382</v>
      </c>
      <c r="F146" s="74">
        <f t="shared" si="8"/>
        <v>269.10000000000002</v>
      </c>
      <c r="G146" s="73">
        <f t="shared" si="9"/>
        <v>1345.5</v>
      </c>
      <c r="H146" s="73" t="s">
        <v>205</v>
      </c>
      <c r="I146" s="75"/>
      <c r="J146" s="73">
        <f>+Tabel24[[#This Row],[stk 5 dage buffer ]]*Tabel24[[#This Row],[inkøbspris pr stk]]</f>
        <v>0</v>
      </c>
      <c r="K146" s="70"/>
      <c r="L146" s="70"/>
      <c r="M146" s="70"/>
      <c r="N146" s="72" t="e">
        <f>Tabel24[[#This Row],[antal containere]]*N143</f>
        <v>#DIV/0!</v>
      </c>
    </row>
    <row r="147" spans="1:14" ht="20.100000000000001" customHeight="1" x14ac:dyDescent="0.25">
      <c r="A147" s="1" t="s">
        <v>342</v>
      </c>
      <c r="B147" s="50" t="s">
        <v>199</v>
      </c>
      <c r="C147" s="47" t="s">
        <v>70</v>
      </c>
      <c r="D147" s="47"/>
      <c r="E147" s="48"/>
      <c r="F147" s="49">
        <f t="shared" si="8"/>
        <v>0</v>
      </c>
      <c r="G147" s="50">
        <f t="shared" si="9"/>
        <v>0</v>
      </c>
      <c r="H147" s="50" t="s">
        <v>199</v>
      </c>
      <c r="I147" s="51"/>
      <c r="J147" s="50">
        <f>+Tabel24[[#This Row],[stk 5 dage buffer ]]*Tabel24[[#This Row],[inkøbspris pr stk]]</f>
        <v>0</v>
      </c>
      <c r="K147" s="41"/>
      <c r="L147" s="41"/>
      <c r="M147" s="41" t="e">
        <f>Tabel24[[#This Row],[Investering]]/Tabel24[[#This Row],[stk pr container]]</f>
        <v>#DIV/0!</v>
      </c>
      <c r="N147" s="42" t="e">
        <f>Tabel24[[#This Row],[antal containere]]*N144</f>
        <v>#DIV/0!</v>
      </c>
    </row>
    <row r="148" spans="1:14" ht="20.100000000000001" customHeight="1" x14ac:dyDescent="0.25">
      <c r="A148" s="1" t="s">
        <v>435</v>
      </c>
      <c r="B148" s="73" t="s">
        <v>205</v>
      </c>
      <c r="C148" s="66" t="s">
        <v>161</v>
      </c>
      <c r="D148" s="66"/>
      <c r="E148" s="73">
        <v>733</v>
      </c>
      <c r="F148" s="74">
        <f t="shared" si="8"/>
        <v>36.65</v>
      </c>
      <c r="G148" s="73">
        <f t="shared" si="9"/>
        <v>183.25</v>
      </c>
      <c r="H148" s="73" t="s">
        <v>205</v>
      </c>
      <c r="I148" s="75"/>
      <c r="J148" s="73">
        <f>+Tabel24[[#This Row],[stk 5 dage buffer ]]*Tabel24[[#This Row],[inkøbspris pr stk]]</f>
        <v>0</v>
      </c>
      <c r="K148" s="70"/>
      <c r="L148" s="70"/>
      <c r="M148" s="70"/>
      <c r="N148" s="72" t="e">
        <f>Tabel24[[#This Row],[antal containere]]*N145</f>
        <v>#DIV/0!</v>
      </c>
    </row>
    <row r="149" spans="1:14" ht="20.100000000000001" customHeight="1" x14ac:dyDescent="0.25">
      <c r="A149" s="1" t="s">
        <v>436</v>
      </c>
      <c r="B149" s="73" t="s">
        <v>205</v>
      </c>
      <c r="C149" s="66" t="s">
        <v>162</v>
      </c>
      <c r="D149" s="66"/>
      <c r="E149" s="73">
        <v>1300</v>
      </c>
      <c r="F149" s="74">
        <f t="shared" si="8"/>
        <v>65</v>
      </c>
      <c r="G149" s="73">
        <f t="shared" si="9"/>
        <v>325</v>
      </c>
      <c r="H149" s="73" t="s">
        <v>205</v>
      </c>
      <c r="I149" s="75"/>
      <c r="J149" s="73">
        <f>+Tabel24[[#This Row],[stk 5 dage buffer ]]*Tabel24[[#This Row],[inkøbspris pr stk]]</f>
        <v>0</v>
      </c>
      <c r="K149" s="70"/>
      <c r="L149" s="70"/>
      <c r="M149" s="70"/>
      <c r="N149" s="72" t="e">
        <f>Tabel24[[#This Row],[antal containere]]*N146</f>
        <v>#DIV/0!</v>
      </c>
    </row>
    <row r="150" spans="1:14" ht="20.100000000000001" customHeight="1" x14ac:dyDescent="0.25">
      <c r="A150" s="1" t="s">
        <v>437</v>
      </c>
      <c r="B150" s="73" t="s">
        <v>205</v>
      </c>
      <c r="C150" s="66" t="s">
        <v>163</v>
      </c>
      <c r="D150" s="66"/>
      <c r="E150" s="73">
        <v>551</v>
      </c>
      <c r="F150" s="74">
        <f t="shared" si="8"/>
        <v>27.55</v>
      </c>
      <c r="G150" s="73">
        <f t="shared" si="9"/>
        <v>137.75</v>
      </c>
      <c r="H150" s="73" t="s">
        <v>205</v>
      </c>
      <c r="I150" s="75"/>
      <c r="J150" s="73">
        <f>+Tabel24[[#This Row],[stk 5 dage buffer ]]*Tabel24[[#This Row],[inkøbspris pr stk]]</f>
        <v>0</v>
      </c>
      <c r="K150" s="70"/>
      <c r="L150" s="70"/>
      <c r="M150" s="70"/>
      <c r="N150" s="72" t="e">
        <f>Tabel24[[#This Row],[antal containere]]*N147</f>
        <v>#DIV/0!</v>
      </c>
    </row>
    <row r="151" spans="1:14" ht="20.100000000000001" customHeight="1" x14ac:dyDescent="0.25">
      <c r="A151" s="1" t="s">
        <v>438</v>
      </c>
      <c r="B151" s="73" t="s">
        <v>205</v>
      </c>
      <c r="C151" s="66" t="s">
        <v>164</v>
      </c>
      <c r="D151" s="66"/>
      <c r="E151" s="73">
        <v>67</v>
      </c>
      <c r="F151" s="74">
        <f t="shared" si="8"/>
        <v>3.35</v>
      </c>
      <c r="G151" s="73">
        <f t="shared" si="9"/>
        <v>16.75</v>
      </c>
      <c r="H151" s="73" t="s">
        <v>205</v>
      </c>
      <c r="I151" s="75"/>
      <c r="J151" s="73">
        <f>+Tabel24[[#This Row],[stk 5 dage buffer ]]*Tabel24[[#This Row],[inkøbspris pr stk]]</f>
        <v>0</v>
      </c>
      <c r="K151" s="70"/>
      <c r="L151" s="70"/>
      <c r="M151" s="70"/>
      <c r="N151" s="72" t="e">
        <f>Tabel24[[#This Row],[antal containere]]*N148</f>
        <v>#DIV/0!</v>
      </c>
    </row>
    <row r="152" spans="1:14" ht="20.100000000000001" customHeight="1" x14ac:dyDescent="0.25">
      <c r="A152" s="1" t="s">
        <v>431</v>
      </c>
      <c r="B152" s="73" t="s">
        <v>205</v>
      </c>
      <c r="C152" s="66" t="s">
        <v>165</v>
      </c>
      <c r="D152" s="66"/>
      <c r="E152" s="73">
        <v>153</v>
      </c>
      <c r="F152" s="74">
        <f t="shared" si="8"/>
        <v>7.65</v>
      </c>
      <c r="G152" s="73">
        <f t="shared" si="9"/>
        <v>38.25</v>
      </c>
      <c r="H152" s="73" t="s">
        <v>205</v>
      </c>
      <c r="I152" s="75"/>
      <c r="J152" s="73">
        <f>+Tabel24[[#This Row],[stk 5 dage buffer ]]*Tabel24[[#This Row],[inkøbspris pr stk]]</f>
        <v>0</v>
      </c>
      <c r="K152" s="70"/>
      <c r="L152" s="70"/>
      <c r="M152" s="70"/>
      <c r="N152" s="72" t="e">
        <f>Tabel24[[#This Row],[antal containere]]*N149</f>
        <v>#DIV/0!</v>
      </c>
    </row>
    <row r="153" spans="1:14" ht="20.100000000000001" customHeight="1" x14ac:dyDescent="0.25">
      <c r="A153" s="1" t="s">
        <v>439</v>
      </c>
      <c r="B153" s="73" t="s">
        <v>205</v>
      </c>
      <c r="C153" s="66" t="s">
        <v>166</v>
      </c>
      <c r="D153" s="66"/>
      <c r="E153" s="73">
        <v>27</v>
      </c>
      <c r="F153" s="74">
        <f t="shared" si="8"/>
        <v>1.35</v>
      </c>
      <c r="G153" s="73">
        <f t="shared" si="9"/>
        <v>6.75</v>
      </c>
      <c r="H153" s="73" t="s">
        <v>205</v>
      </c>
      <c r="I153" s="75"/>
      <c r="J153" s="73">
        <f>+Tabel24[[#This Row],[stk 5 dage buffer ]]*Tabel24[[#This Row],[inkøbspris pr stk]]</f>
        <v>0</v>
      </c>
      <c r="K153" s="70"/>
      <c r="L153" s="70"/>
      <c r="M153" s="70"/>
      <c r="N153" s="72" t="e">
        <f>Tabel24[[#This Row],[antal containere]]*N150</f>
        <v>#DIV/0!</v>
      </c>
    </row>
    <row r="154" spans="1:14" ht="20.100000000000001" customHeight="1" x14ac:dyDescent="0.25">
      <c r="A154" s="1" t="s">
        <v>440</v>
      </c>
      <c r="B154" s="73" t="s">
        <v>205</v>
      </c>
      <c r="C154" s="66" t="s">
        <v>168</v>
      </c>
      <c r="D154" s="66"/>
      <c r="E154" s="73">
        <v>626</v>
      </c>
      <c r="F154" s="74">
        <f t="shared" si="8"/>
        <v>31.3</v>
      </c>
      <c r="G154" s="73">
        <f t="shared" si="9"/>
        <v>156.5</v>
      </c>
      <c r="H154" s="73" t="s">
        <v>205</v>
      </c>
      <c r="I154" s="75"/>
      <c r="J154" s="73">
        <f>+Tabel24[[#This Row],[stk 5 dage buffer ]]*Tabel24[[#This Row],[inkøbspris pr stk]]</f>
        <v>0</v>
      </c>
      <c r="K154" s="70"/>
      <c r="L154" s="70"/>
      <c r="M154" s="70"/>
      <c r="N154" s="72" t="e">
        <f>Tabel24[[#This Row],[antal containere]]*N151</f>
        <v>#DIV/0!</v>
      </c>
    </row>
    <row r="155" spans="1:14" ht="20.100000000000001" customHeight="1" x14ac:dyDescent="0.25">
      <c r="A155" s="1" t="s">
        <v>441</v>
      </c>
      <c r="B155" s="73" t="s">
        <v>205</v>
      </c>
      <c r="C155" s="66" t="s">
        <v>169</v>
      </c>
      <c r="D155" s="66"/>
      <c r="E155" s="73">
        <v>1104</v>
      </c>
      <c r="F155" s="74">
        <f t="shared" si="8"/>
        <v>55.2</v>
      </c>
      <c r="G155" s="73">
        <f t="shared" si="9"/>
        <v>276</v>
      </c>
      <c r="H155" s="73" t="s">
        <v>205</v>
      </c>
      <c r="I155" s="75"/>
      <c r="J155" s="73">
        <f>+Tabel24[[#This Row],[stk 5 dage buffer ]]*Tabel24[[#This Row],[inkøbspris pr stk]]</f>
        <v>0</v>
      </c>
      <c r="K155" s="70"/>
      <c r="L155" s="70"/>
      <c r="M155" s="70"/>
      <c r="N155" s="72" t="e">
        <f>Tabel24[[#This Row],[antal containere]]*N152</f>
        <v>#DIV/0!</v>
      </c>
    </row>
    <row r="156" spans="1:14" ht="20.100000000000001" customHeight="1" x14ac:dyDescent="0.25">
      <c r="A156" s="1" t="s">
        <v>437</v>
      </c>
      <c r="B156" s="73" t="s">
        <v>205</v>
      </c>
      <c r="C156" s="66" t="s">
        <v>170</v>
      </c>
      <c r="D156" s="66"/>
      <c r="E156" s="73">
        <v>1</v>
      </c>
      <c r="F156" s="74">
        <f t="shared" si="8"/>
        <v>0.05</v>
      </c>
      <c r="G156" s="73">
        <f t="shared" si="9"/>
        <v>0.25</v>
      </c>
      <c r="H156" s="73" t="s">
        <v>205</v>
      </c>
      <c r="I156" s="75"/>
      <c r="J156" s="73">
        <f>+Tabel24[[#This Row],[stk 5 dage buffer ]]*Tabel24[[#This Row],[inkøbspris pr stk]]</f>
        <v>0</v>
      </c>
      <c r="K156" s="70"/>
      <c r="L156" s="70"/>
      <c r="M156" s="70"/>
      <c r="N156" s="72" t="e">
        <f>Tabel24[[#This Row],[antal containere]]*N153</f>
        <v>#DIV/0!</v>
      </c>
    </row>
    <row r="157" spans="1:14" ht="20.100000000000001" customHeight="1" x14ac:dyDescent="0.25">
      <c r="A157" s="1" t="s">
        <v>409</v>
      </c>
      <c r="B157" s="73" t="s">
        <v>205</v>
      </c>
      <c r="C157" s="66" t="s">
        <v>171</v>
      </c>
      <c r="D157" s="66"/>
      <c r="E157" s="73">
        <v>18</v>
      </c>
      <c r="F157" s="74">
        <f t="shared" si="8"/>
        <v>0.9</v>
      </c>
      <c r="G157" s="73">
        <f t="shared" si="9"/>
        <v>4.5</v>
      </c>
      <c r="H157" s="73" t="s">
        <v>205</v>
      </c>
      <c r="I157" s="75"/>
      <c r="J157" s="73">
        <f>+Tabel24[[#This Row],[stk 5 dage buffer ]]*Tabel24[[#This Row],[inkøbspris pr stk]]</f>
        <v>0</v>
      </c>
      <c r="K157" s="70"/>
      <c r="L157" s="70"/>
      <c r="M157" s="70"/>
      <c r="N157" s="72" t="e">
        <f>Tabel24[[#This Row],[antal containere]]*N154</f>
        <v>#DIV/0!</v>
      </c>
    </row>
    <row r="158" spans="1:14" ht="20.100000000000001" customHeight="1" x14ac:dyDescent="0.25">
      <c r="A158" s="1" t="s">
        <v>442</v>
      </c>
      <c r="B158" s="73" t="s">
        <v>205</v>
      </c>
      <c r="C158" s="66" t="s">
        <v>172</v>
      </c>
      <c r="D158" s="66"/>
      <c r="E158" s="73">
        <v>12</v>
      </c>
      <c r="F158" s="74">
        <f t="shared" si="8"/>
        <v>0.6</v>
      </c>
      <c r="G158" s="73">
        <f t="shared" si="9"/>
        <v>3</v>
      </c>
      <c r="H158" s="73" t="s">
        <v>205</v>
      </c>
      <c r="I158" s="75"/>
      <c r="J158" s="73">
        <f>+Tabel24[[#This Row],[stk 5 dage buffer ]]*Tabel24[[#This Row],[inkøbspris pr stk]]</f>
        <v>0</v>
      </c>
      <c r="K158" s="70"/>
      <c r="L158" s="70"/>
      <c r="M158" s="70"/>
      <c r="N158" s="72" t="e">
        <f>Tabel24[[#This Row],[antal containere]]*N155</f>
        <v>#DIV/0!</v>
      </c>
    </row>
    <row r="159" spans="1:14" ht="20.100000000000001" customHeight="1" x14ac:dyDescent="0.25">
      <c r="A159" s="1" t="s">
        <v>342</v>
      </c>
      <c r="B159" s="55" t="s">
        <v>199</v>
      </c>
      <c r="C159" s="52" t="s">
        <v>84</v>
      </c>
      <c r="D159" s="52"/>
      <c r="E159" s="53"/>
      <c r="F159" s="54">
        <f t="shared" si="8"/>
        <v>0</v>
      </c>
      <c r="G159" s="55">
        <f t="shared" si="9"/>
        <v>0</v>
      </c>
      <c r="H159" s="55" t="s">
        <v>199</v>
      </c>
      <c r="I159" s="56"/>
      <c r="J159" s="55">
        <f>+Tabel24[[#This Row],[stk 5 dage buffer ]]*Tabel24[[#This Row],[inkøbspris pr stk]]</f>
        <v>0</v>
      </c>
      <c r="K159" s="41"/>
      <c r="L159" s="41"/>
      <c r="M159" s="41" t="e">
        <f>Tabel24[[#This Row],[Investering]]/Tabel24[[#This Row],[stk pr container]]</f>
        <v>#DIV/0!</v>
      </c>
      <c r="N159" s="42" t="e">
        <f>Tabel24[[#This Row],[antal containere]]*N156</f>
        <v>#DIV/0!</v>
      </c>
    </row>
    <row r="160" spans="1:14" ht="20.100000000000001" customHeight="1" x14ac:dyDescent="0.25">
      <c r="A160" s="1" t="s">
        <v>342</v>
      </c>
      <c r="B160" s="15" t="s">
        <v>199</v>
      </c>
      <c r="C160" s="7" t="s">
        <v>85</v>
      </c>
      <c r="D160" s="7"/>
      <c r="E160" s="13"/>
      <c r="F160" s="14">
        <f t="shared" si="8"/>
        <v>0</v>
      </c>
      <c r="G160" s="15">
        <f t="shared" si="9"/>
        <v>0</v>
      </c>
      <c r="H160" s="15" t="s">
        <v>199</v>
      </c>
      <c r="I160" s="43"/>
      <c r="J160" s="15">
        <f>+Tabel24[[#This Row],[stk 5 dage buffer ]]*Tabel24[[#This Row],[inkøbspris pr stk]]</f>
        <v>0</v>
      </c>
      <c r="K160" s="41"/>
      <c r="L160" s="41"/>
      <c r="M160" s="41" t="e">
        <f>Tabel24[[#This Row],[Investering]]/Tabel24[[#This Row],[stk pr container]]</f>
        <v>#DIV/0!</v>
      </c>
      <c r="N160" s="42" t="e">
        <f>Tabel24[[#This Row],[antal containere]]*N157</f>
        <v>#DIV/0!</v>
      </c>
    </row>
    <row r="161" spans="1:14" ht="20.100000000000001" customHeight="1" x14ac:dyDescent="0.25">
      <c r="A161" s="1" t="s">
        <v>342</v>
      </c>
      <c r="B161" s="15" t="s">
        <v>199</v>
      </c>
      <c r="C161" s="7" t="s">
        <v>86</v>
      </c>
      <c r="D161" s="7"/>
      <c r="E161" s="13"/>
      <c r="F161" s="14">
        <f t="shared" si="8"/>
        <v>0</v>
      </c>
      <c r="G161" s="15">
        <f t="shared" si="9"/>
        <v>0</v>
      </c>
      <c r="H161" s="15" t="s">
        <v>199</v>
      </c>
      <c r="I161" s="43"/>
      <c r="J161" s="15">
        <f>+Tabel24[[#This Row],[stk 5 dage buffer ]]*Tabel24[[#This Row],[inkøbspris pr stk]]</f>
        <v>0</v>
      </c>
      <c r="K161" s="41"/>
      <c r="L161" s="41"/>
      <c r="M161" s="41" t="e">
        <f>Tabel24[[#This Row],[Investering]]/Tabel24[[#This Row],[stk pr container]]</f>
        <v>#DIV/0!</v>
      </c>
      <c r="N161" s="42" t="e">
        <f>Tabel24[[#This Row],[antal containere]]*N158</f>
        <v>#DIV/0!</v>
      </c>
    </row>
    <row r="162" spans="1:14" ht="20.100000000000001" customHeight="1" x14ac:dyDescent="0.25">
      <c r="A162" s="1" t="s">
        <v>342</v>
      </c>
      <c r="B162" s="15" t="s">
        <v>199</v>
      </c>
      <c r="C162" s="7" t="s">
        <v>87</v>
      </c>
      <c r="D162" s="7"/>
      <c r="E162" s="13"/>
      <c r="F162" s="14">
        <f t="shared" si="8"/>
        <v>0</v>
      </c>
      <c r="G162" s="15">
        <f t="shared" si="9"/>
        <v>0</v>
      </c>
      <c r="H162" s="15" t="s">
        <v>199</v>
      </c>
      <c r="I162" s="43"/>
      <c r="J162" s="15">
        <f>+Tabel24[[#This Row],[stk 5 dage buffer ]]*Tabel24[[#This Row],[inkøbspris pr stk]]</f>
        <v>0</v>
      </c>
      <c r="K162" s="41"/>
      <c r="L162" s="41"/>
      <c r="M162" s="41" t="e">
        <f>Tabel24[[#This Row],[Investering]]/Tabel24[[#This Row],[stk pr container]]</f>
        <v>#DIV/0!</v>
      </c>
      <c r="N162" s="42" t="e">
        <f>Tabel24[[#This Row],[antal containere]]*N159</f>
        <v>#DIV/0!</v>
      </c>
    </row>
    <row r="163" spans="1:14" ht="20.100000000000001" customHeight="1" x14ac:dyDescent="0.25">
      <c r="A163" s="1" t="s">
        <v>342</v>
      </c>
      <c r="B163" s="18" t="s">
        <v>199</v>
      </c>
      <c r="C163" s="8" t="s">
        <v>88</v>
      </c>
      <c r="D163" s="8"/>
      <c r="E163" s="16"/>
      <c r="F163" s="17">
        <f t="shared" si="8"/>
        <v>0</v>
      </c>
      <c r="G163" s="18">
        <f t="shared" si="9"/>
        <v>0</v>
      </c>
      <c r="H163" s="18" t="s">
        <v>199</v>
      </c>
      <c r="I163" s="44"/>
      <c r="J163" s="18">
        <f>+Tabel24[[#This Row],[stk 5 dage buffer ]]*Tabel24[[#This Row],[inkøbspris pr stk]]</f>
        <v>0</v>
      </c>
      <c r="K163" s="41"/>
      <c r="L163" s="41"/>
      <c r="M163" s="41" t="e">
        <f>Tabel24[[#This Row],[Investering]]/Tabel24[[#This Row],[stk pr container]]</f>
        <v>#DIV/0!</v>
      </c>
      <c r="N163" s="42" t="e">
        <f>Tabel24[[#This Row],[antal containere]]*N160</f>
        <v>#DIV/0!</v>
      </c>
    </row>
    <row r="164" spans="1:14" ht="20.100000000000001" customHeight="1" x14ac:dyDescent="0.25">
      <c r="A164" s="1" t="s">
        <v>437</v>
      </c>
      <c r="B164" s="73" t="s">
        <v>205</v>
      </c>
      <c r="C164" s="66" t="s">
        <v>173</v>
      </c>
      <c r="D164" s="66"/>
      <c r="E164" s="73">
        <v>10</v>
      </c>
      <c r="F164" s="74">
        <f t="shared" ref="F164:F185" si="10">+E164/+$F$2</f>
        <v>0.5</v>
      </c>
      <c r="G164" s="73">
        <f t="shared" ref="G164:G185" si="11">+F164*$F$1</f>
        <v>2.5</v>
      </c>
      <c r="H164" s="73" t="s">
        <v>205</v>
      </c>
      <c r="I164" s="75"/>
      <c r="J164" s="73">
        <f>+Tabel24[[#This Row],[stk 5 dage buffer ]]*Tabel24[[#This Row],[inkøbspris pr stk]]</f>
        <v>0</v>
      </c>
      <c r="K164" s="70"/>
      <c r="L164" s="70"/>
      <c r="M164" s="70"/>
      <c r="N164" s="72" t="e">
        <f>Tabel24[[#This Row],[antal containere]]*N161</f>
        <v>#DIV/0!</v>
      </c>
    </row>
    <row r="165" spans="1:14" ht="20.100000000000001" customHeight="1" x14ac:dyDescent="0.25">
      <c r="A165" s="1" t="s">
        <v>443</v>
      </c>
      <c r="B165" s="73" t="s">
        <v>205</v>
      </c>
      <c r="C165" s="66" t="s">
        <v>174</v>
      </c>
      <c r="D165" s="66"/>
      <c r="E165" s="73">
        <v>22</v>
      </c>
      <c r="F165" s="74">
        <f t="shared" si="10"/>
        <v>1.1000000000000001</v>
      </c>
      <c r="G165" s="73">
        <f t="shared" si="11"/>
        <v>5.5</v>
      </c>
      <c r="H165" s="73" t="s">
        <v>205</v>
      </c>
      <c r="I165" s="75"/>
      <c r="J165" s="73">
        <f>+Tabel24[[#This Row],[stk 5 dage buffer ]]*Tabel24[[#This Row],[inkøbspris pr stk]]</f>
        <v>0</v>
      </c>
      <c r="K165" s="70"/>
      <c r="L165" s="70"/>
      <c r="M165" s="70"/>
      <c r="N165" s="72" t="e">
        <f>Tabel24[[#This Row],[antal containere]]*N162</f>
        <v>#DIV/0!</v>
      </c>
    </row>
    <row r="166" spans="1:14" ht="20.100000000000001" customHeight="1" x14ac:dyDescent="0.25">
      <c r="A166" s="1" t="s">
        <v>444</v>
      </c>
      <c r="B166" s="73" t="s">
        <v>205</v>
      </c>
      <c r="C166" s="66" t="s">
        <v>175</v>
      </c>
      <c r="D166" s="66"/>
      <c r="E166" s="73">
        <v>108</v>
      </c>
      <c r="F166" s="74">
        <f t="shared" si="10"/>
        <v>5.4</v>
      </c>
      <c r="G166" s="73">
        <f t="shared" si="11"/>
        <v>27</v>
      </c>
      <c r="H166" s="73" t="s">
        <v>205</v>
      </c>
      <c r="I166" s="75"/>
      <c r="J166" s="73">
        <f>+Tabel24[[#This Row],[stk 5 dage buffer ]]*Tabel24[[#This Row],[inkøbspris pr stk]]</f>
        <v>0</v>
      </c>
      <c r="K166" s="70"/>
      <c r="L166" s="70"/>
      <c r="M166" s="70"/>
      <c r="N166" s="72" t="e">
        <f>Tabel24[[#This Row],[antal containere]]*N163</f>
        <v>#DIV/0!</v>
      </c>
    </row>
    <row r="167" spans="1:14" ht="20.100000000000001" customHeight="1" x14ac:dyDescent="0.25">
      <c r="A167" s="1" t="s">
        <v>445</v>
      </c>
      <c r="B167" s="73" t="s">
        <v>205</v>
      </c>
      <c r="C167" s="66" t="s">
        <v>176</v>
      </c>
      <c r="D167" s="66"/>
      <c r="E167" s="73">
        <v>18</v>
      </c>
      <c r="F167" s="74">
        <f t="shared" si="10"/>
        <v>0.9</v>
      </c>
      <c r="G167" s="73">
        <f t="shared" si="11"/>
        <v>4.5</v>
      </c>
      <c r="H167" s="73" t="s">
        <v>205</v>
      </c>
      <c r="I167" s="75"/>
      <c r="J167" s="73">
        <f>+Tabel24[[#This Row],[stk 5 dage buffer ]]*Tabel24[[#This Row],[inkøbspris pr stk]]</f>
        <v>0</v>
      </c>
      <c r="K167" s="70"/>
      <c r="L167" s="70"/>
      <c r="M167" s="70"/>
      <c r="N167" s="72" t="e">
        <f>Tabel24[[#This Row],[antal containere]]*N164</f>
        <v>#DIV/0!</v>
      </c>
    </row>
    <row r="168" spans="1:14" ht="20.100000000000001" customHeight="1" x14ac:dyDescent="0.25">
      <c r="A168" s="1" t="s">
        <v>446</v>
      </c>
      <c r="B168" s="73" t="s">
        <v>205</v>
      </c>
      <c r="C168" s="66" t="s">
        <v>177</v>
      </c>
      <c r="D168" s="66"/>
      <c r="E168" s="73">
        <v>1616</v>
      </c>
      <c r="F168" s="74">
        <f t="shared" si="10"/>
        <v>80.8</v>
      </c>
      <c r="G168" s="73">
        <f t="shared" si="11"/>
        <v>404</v>
      </c>
      <c r="H168" s="73" t="s">
        <v>205</v>
      </c>
      <c r="I168" s="75"/>
      <c r="J168" s="73">
        <f>+Tabel24[[#This Row],[stk 5 dage buffer ]]*Tabel24[[#This Row],[inkøbspris pr stk]]</f>
        <v>0</v>
      </c>
      <c r="K168" s="70"/>
      <c r="L168" s="70"/>
      <c r="M168" s="70"/>
      <c r="N168" s="72" t="e">
        <f>Tabel24[[#This Row],[antal containere]]*N165</f>
        <v>#DIV/0!</v>
      </c>
    </row>
    <row r="169" spans="1:14" ht="20.100000000000001" customHeight="1" x14ac:dyDescent="0.25">
      <c r="A169" s="1" t="s">
        <v>342</v>
      </c>
      <c r="B169" s="55" t="s">
        <v>199</v>
      </c>
      <c r="C169" s="52" t="s">
        <v>96</v>
      </c>
      <c r="D169" s="52"/>
      <c r="E169" s="53"/>
      <c r="F169" s="54">
        <f t="shared" si="10"/>
        <v>0</v>
      </c>
      <c r="G169" s="55">
        <f t="shared" si="11"/>
        <v>0</v>
      </c>
      <c r="H169" s="55" t="s">
        <v>199</v>
      </c>
      <c r="I169" s="56"/>
      <c r="J169" s="55">
        <f>+Tabel24[[#This Row],[stk 5 dage buffer ]]*Tabel24[[#This Row],[inkøbspris pr stk]]</f>
        <v>0</v>
      </c>
      <c r="K169" s="41"/>
      <c r="L169" s="41"/>
      <c r="M169" s="41" t="e">
        <f>Tabel24[[#This Row],[Investering]]/Tabel24[[#This Row],[stk pr container]]</f>
        <v>#DIV/0!</v>
      </c>
      <c r="N169" s="42" t="e">
        <f>Tabel24[[#This Row],[antal containere]]*N166</f>
        <v>#DIV/0!</v>
      </c>
    </row>
    <row r="170" spans="1:14" ht="20.100000000000001" customHeight="1" x14ac:dyDescent="0.25">
      <c r="A170" s="1" t="s">
        <v>342</v>
      </c>
      <c r="B170" s="18" t="s">
        <v>199</v>
      </c>
      <c r="C170" s="8" t="s">
        <v>97</v>
      </c>
      <c r="D170" s="8"/>
      <c r="E170" s="16"/>
      <c r="F170" s="17">
        <f t="shared" si="10"/>
        <v>0</v>
      </c>
      <c r="G170" s="18">
        <f t="shared" si="11"/>
        <v>0</v>
      </c>
      <c r="H170" s="18" t="s">
        <v>199</v>
      </c>
      <c r="I170" s="44"/>
      <c r="J170" s="18">
        <f>+Tabel24[[#This Row],[stk 5 dage buffer ]]*Tabel24[[#This Row],[inkøbspris pr stk]]</f>
        <v>0</v>
      </c>
      <c r="K170" s="41"/>
      <c r="L170" s="41"/>
      <c r="M170" s="41" t="e">
        <f>Tabel24[[#This Row],[Investering]]/Tabel24[[#This Row],[stk pr container]]</f>
        <v>#DIV/0!</v>
      </c>
      <c r="N170" s="42" t="e">
        <f>Tabel24[[#This Row],[antal containere]]*N167</f>
        <v>#DIV/0!</v>
      </c>
    </row>
    <row r="171" spans="1:14" ht="20.100000000000001" customHeight="1" x14ac:dyDescent="0.25">
      <c r="A171" s="1" t="s">
        <v>447</v>
      </c>
      <c r="B171" s="73" t="s">
        <v>205</v>
      </c>
      <c r="C171" s="66" t="s">
        <v>178</v>
      </c>
      <c r="D171" s="66"/>
      <c r="E171" s="73">
        <v>27</v>
      </c>
      <c r="F171" s="74">
        <f t="shared" si="10"/>
        <v>1.35</v>
      </c>
      <c r="G171" s="73">
        <f t="shared" si="11"/>
        <v>6.75</v>
      </c>
      <c r="H171" s="73" t="s">
        <v>205</v>
      </c>
      <c r="I171" s="75"/>
      <c r="J171" s="73">
        <f>+Tabel24[[#This Row],[stk 5 dage buffer ]]*Tabel24[[#This Row],[inkøbspris pr stk]]</f>
        <v>0</v>
      </c>
      <c r="K171" s="70"/>
      <c r="L171" s="70"/>
      <c r="M171" s="70"/>
      <c r="N171" s="72" t="e">
        <f>Tabel24[[#This Row],[antal containere]]*N168</f>
        <v>#DIV/0!</v>
      </c>
    </row>
    <row r="172" spans="1:14" ht="20.100000000000001" customHeight="1" x14ac:dyDescent="0.25">
      <c r="A172" s="1" t="s">
        <v>448</v>
      </c>
      <c r="B172" s="73" t="s">
        <v>205</v>
      </c>
      <c r="C172" s="66" t="s">
        <v>179</v>
      </c>
      <c r="D172" s="66"/>
      <c r="E172" s="73">
        <v>44</v>
      </c>
      <c r="F172" s="74">
        <f t="shared" si="10"/>
        <v>2.2000000000000002</v>
      </c>
      <c r="G172" s="73">
        <f t="shared" si="11"/>
        <v>11</v>
      </c>
      <c r="H172" s="73" t="s">
        <v>205</v>
      </c>
      <c r="I172" s="75"/>
      <c r="J172" s="73">
        <f>+Tabel24[[#This Row],[stk 5 dage buffer ]]*Tabel24[[#This Row],[inkøbspris pr stk]]</f>
        <v>0</v>
      </c>
      <c r="K172" s="70"/>
      <c r="L172" s="70"/>
      <c r="M172" s="70"/>
      <c r="N172" s="72" t="e">
        <f>Tabel24[[#This Row],[antal containere]]*N169</f>
        <v>#DIV/0!</v>
      </c>
    </row>
    <row r="173" spans="1:14" ht="20.100000000000001" customHeight="1" x14ac:dyDescent="0.25">
      <c r="A173" s="1" t="s">
        <v>415</v>
      </c>
      <c r="B173" s="73" t="s">
        <v>205</v>
      </c>
      <c r="C173" s="66" t="s">
        <v>180</v>
      </c>
      <c r="D173" s="66"/>
      <c r="E173" s="73">
        <v>15</v>
      </c>
      <c r="F173" s="74">
        <f t="shared" si="10"/>
        <v>0.75</v>
      </c>
      <c r="G173" s="73">
        <f t="shared" si="11"/>
        <v>3.75</v>
      </c>
      <c r="H173" s="73" t="s">
        <v>205</v>
      </c>
      <c r="I173" s="75"/>
      <c r="J173" s="73">
        <f>+Tabel24[[#This Row],[stk 5 dage buffer ]]*Tabel24[[#This Row],[inkøbspris pr stk]]</f>
        <v>0</v>
      </c>
      <c r="K173" s="70"/>
      <c r="L173" s="70"/>
      <c r="M173" s="70"/>
      <c r="N173" s="72" t="e">
        <f>Tabel24[[#This Row],[antal containere]]*N170</f>
        <v>#DIV/0!</v>
      </c>
    </row>
    <row r="174" spans="1:14" ht="20.100000000000001" customHeight="1" x14ac:dyDescent="0.25">
      <c r="A174" s="1" t="s">
        <v>431</v>
      </c>
      <c r="B174" s="73" t="s">
        <v>205</v>
      </c>
      <c r="C174" s="66" t="s">
        <v>181</v>
      </c>
      <c r="D174" s="66"/>
      <c r="E174" s="73">
        <v>15</v>
      </c>
      <c r="F174" s="74">
        <f t="shared" si="10"/>
        <v>0.75</v>
      </c>
      <c r="G174" s="73">
        <f t="shared" si="11"/>
        <v>3.75</v>
      </c>
      <c r="H174" s="73" t="s">
        <v>205</v>
      </c>
      <c r="I174" s="75"/>
      <c r="J174" s="73">
        <f>+Tabel24[[#This Row],[stk 5 dage buffer ]]*Tabel24[[#This Row],[inkøbspris pr stk]]</f>
        <v>0</v>
      </c>
      <c r="K174" s="70"/>
      <c r="L174" s="70"/>
      <c r="M174" s="70"/>
      <c r="N174" s="72" t="e">
        <f>Tabel24[[#This Row],[antal containere]]*N171</f>
        <v>#DIV/0!</v>
      </c>
    </row>
    <row r="175" spans="1:14" ht="20.100000000000001" customHeight="1" x14ac:dyDescent="0.25">
      <c r="A175" s="1" t="s">
        <v>449</v>
      </c>
      <c r="B175" s="73" t="s">
        <v>205</v>
      </c>
      <c r="C175" s="66" t="s">
        <v>182</v>
      </c>
      <c r="D175" s="66"/>
      <c r="E175" s="73">
        <v>2</v>
      </c>
      <c r="F175" s="74">
        <f t="shared" si="10"/>
        <v>0.1</v>
      </c>
      <c r="G175" s="73">
        <f t="shared" si="11"/>
        <v>0.5</v>
      </c>
      <c r="H175" s="73" t="s">
        <v>205</v>
      </c>
      <c r="I175" s="75"/>
      <c r="J175" s="73">
        <f>+Tabel24[[#This Row],[stk 5 dage buffer ]]*Tabel24[[#This Row],[inkøbspris pr stk]]</f>
        <v>0</v>
      </c>
      <c r="K175" s="70"/>
      <c r="L175" s="70"/>
      <c r="M175" s="70"/>
      <c r="N175" s="72" t="e">
        <f>Tabel24[[#This Row],[antal containere]]*N172</f>
        <v>#DIV/0!</v>
      </c>
    </row>
    <row r="176" spans="1:14" ht="20.100000000000001" customHeight="1" x14ac:dyDescent="0.25">
      <c r="A176" s="1" t="s">
        <v>450</v>
      </c>
      <c r="B176" s="73" t="s">
        <v>205</v>
      </c>
      <c r="C176" s="66" t="s">
        <v>184</v>
      </c>
      <c r="D176" s="66"/>
      <c r="E176" s="73">
        <v>2</v>
      </c>
      <c r="F176" s="74">
        <f t="shared" si="10"/>
        <v>0.1</v>
      </c>
      <c r="G176" s="73">
        <f t="shared" si="11"/>
        <v>0.5</v>
      </c>
      <c r="H176" s="73" t="s">
        <v>205</v>
      </c>
      <c r="I176" s="75"/>
      <c r="J176" s="73">
        <f>+Tabel24[[#This Row],[stk 5 dage buffer ]]*Tabel24[[#This Row],[inkøbspris pr stk]]</f>
        <v>0</v>
      </c>
      <c r="K176" s="70"/>
      <c r="L176" s="70"/>
      <c r="M176" s="70"/>
      <c r="N176" s="72" t="e">
        <f>Tabel24[[#This Row],[antal containere]]*N173</f>
        <v>#DIV/0!</v>
      </c>
    </row>
    <row r="177" spans="1:14" ht="20.100000000000001" customHeight="1" x14ac:dyDescent="0.25">
      <c r="A177" s="1" t="s">
        <v>451</v>
      </c>
      <c r="B177" s="73" t="s">
        <v>205</v>
      </c>
      <c r="C177" s="66" t="s">
        <v>185</v>
      </c>
      <c r="D177" s="66"/>
      <c r="E177" s="73">
        <v>1200</v>
      </c>
      <c r="F177" s="74">
        <f t="shared" si="10"/>
        <v>60</v>
      </c>
      <c r="G177" s="73">
        <f t="shared" si="11"/>
        <v>300</v>
      </c>
      <c r="H177" s="73" t="s">
        <v>205</v>
      </c>
      <c r="I177" s="75"/>
      <c r="J177" s="73">
        <f>+Tabel24[[#This Row],[stk 5 dage buffer ]]*Tabel24[[#This Row],[inkøbspris pr stk]]</f>
        <v>0</v>
      </c>
      <c r="K177" s="70"/>
      <c r="L177" s="70"/>
      <c r="M177" s="70"/>
      <c r="N177" s="72" t="e">
        <f>Tabel24[[#This Row],[antal containere]]*N174</f>
        <v>#DIV/0!</v>
      </c>
    </row>
    <row r="178" spans="1:14" ht="20.100000000000001" customHeight="1" x14ac:dyDescent="0.25">
      <c r="A178" s="1" t="s">
        <v>452</v>
      </c>
      <c r="B178" s="73" t="s">
        <v>205</v>
      </c>
      <c r="C178" s="66" t="s">
        <v>186</v>
      </c>
      <c r="D178" s="66"/>
      <c r="E178" s="73">
        <v>600</v>
      </c>
      <c r="F178" s="74">
        <f t="shared" si="10"/>
        <v>30</v>
      </c>
      <c r="G178" s="73">
        <f t="shared" si="11"/>
        <v>150</v>
      </c>
      <c r="H178" s="73" t="s">
        <v>205</v>
      </c>
      <c r="I178" s="75"/>
      <c r="J178" s="73">
        <f>+Tabel24[[#This Row],[stk 5 dage buffer ]]*Tabel24[[#This Row],[inkøbspris pr stk]]</f>
        <v>0</v>
      </c>
      <c r="K178" s="70"/>
      <c r="L178" s="70"/>
      <c r="M178" s="70"/>
      <c r="N178" s="72" t="e">
        <f>Tabel24[[#This Row],[antal containere]]*N175</f>
        <v>#DIV/0!</v>
      </c>
    </row>
    <row r="179" spans="1:14" ht="20.100000000000001" customHeight="1" x14ac:dyDescent="0.25">
      <c r="A179" s="1" t="s">
        <v>437</v>
      </c>
      <c r="B179" s="73" t="s">
        <v>205</v>
      </c>
      <c r="C179" s="66" t="s">
        <v>187</v>
      </c>
      <c r="D179" s="66"/>
      <c r="E179" s="73">
        <v>151</v>
      </c>
      <c r="F179" s="74">
        <f t="shared" si="10"/>
        <v>7.55</v>
      </c>
      <c r="G179" s="73">
        <f t="shared" si="11"/>
        <v>37.75</v>
      </c>
      <c r="H179" s="73" t="s">
        <v>205</v>
      </c>
      <c r="I179" s="75"/>
      <c r="J179" s="73">
        <f>+Tabel24[[#This Row],[stk 5 dage buffer ]]*Tabel24[[#This Row],[inkøbspris pr stk]]</f>
        <v>0</v>
      </c>
      <c r="K179" s="70"/>
      <c r="L179" s="70"/>
      <c r="M179" s="70"/>
      <c r="N179" s="72" t="e">
        <f>Tabel24[[#This Row],[antal containere]]*N176</f>
        <v>#DIV/0!</v>
      </c>
    </row>
    <row r="180" spans="1:14" ht="20.100000000000001" customHeight="1" x14ac:dyDescent="0.25">
      <c r="A180" s="1" t="s">
        <v>440</v>
      </c>
      <c r="B180" s="73" t="s">
        <v>205</v>
      </c>
      <c r="C180" s="66" t="s">
        <v>188</v>
      </c>
      <c r="D180" s="66"/>
      <c r="E180" s="73">
        <v>130</v>
      </c>
      <c r="F180" s="74">
        <f t="shared" si="10"/>
        <v>6.5</v>
      </c>
      <c r="G180" s="73">
        <f t="shared" si="11"/>
        <v>32.5</v>
      </c>
      <c r="H180" s="73" t="s">
        <v>205</v>
      </c>
      <c r="I180" s="75"/>
      <c r="J180" s="73">
        <f>+Tabel24[[#This Row],[stk 5 dage buffer ]]*Tabel24[[#This Row],[inkøbspris pr stk]]</f>
        <v>0</v>
      </c>
      <c r="K180" s="70"/>
      <c r="L180" s="70"/>
      <c r="M180" s="70"/>
      <c r="N180" s="72" t="e">
        <f>Tabel24[[#This Row],[antal containere]]*N177</f>
        <v>#DIV/0!</v>
      </c>
    </row>
    <row r="181" spans="1:14" ht="20.100000000000001" customHeight="1" x14ac:dyDescent="0.25">
      <c r="A181" s="1" t="s">
        <v>453</v>
      </c>
      <c r="B181" s="73" t="s">
        <v>205</v>
      </c>
      <c r="C181" s="66" t="s">
        <v>190</v>
      </c>
      <c r="D181" s="66"/>
      <c r="E181" s="73">
        <v>123</v>
      </c>
      <c r="F181" s="74">
        <f t="shared" si="10"/>
        <v>6.15</v>
      </c>
      <c r="G181" s="73">
        <f t="shared" si="11"/>
        <v>30.75</v>
      </c>
      <c r="H181" s="73" t="s">
        <v>205</v>
      </c>
      <c r="I181" s="75"/>
      <c r="J181" s="73">
        <f>+Tabel24[[#This Row],[stk 5 dage buffer ]]*Tabel24[[#This Row],[inkøbspris pr stk]]</f>
        <v>0</v>
      </c>
      <c r="K181" s="70"/>
      <c r="L181" s="70"/>
      <c r="M181" s="70"/>
      <c r="N181" s="72" t="e">
        <f>Tabel24[[#This Row],[antal containere]]*N178</f>
        <v>#DIV/0!</v>
      </c>
    </row>
    <row r="182" spans="1:14" ht="20.100000000000001" customHeight="1" x14ac:dyDescent="0.25">
      <c r="A182" s="1" t="s">
        <v>454</v>
      </c>
      <c r="B182" s="73" t="s">
        <v>205</v>
      </c>
      <c r="C182" s="66" t="s">
        <v>191</v>
      </c>
      <c r="D182" s="66"/>
      <c r="E182" s="73">
        <v>13</v>
      </c>
      <c r="F182" s="74">
        <f t="shared" si="10"/>
        <v>0.65</v>
      </c>
      <c r="G182" s="73">
        <f t="shared" si="11"/>
        <v>3.25</v>
      </c>
      <c r="H182" s="73" t="s">
        <v>205</v>
      </c>
      <c r="I182" s="75"/>
      <c r="J182" s="73">
        <f>+Tabel24[[#This Row],[stk 5 dage buffer ]]*Tabel24[[#This Row],[inkøbspris pr stk]]</f>
        <v>0</v>
      </c>
      <c r="K182" s="70"/>
      <c r="L182" s="70"/>
      <c r="M182" s="70"/>
      <c r="N182" s="72" t="e">
        <f>Tabel24[[#This Row],[antal containere]]*N179</f>
        <v>#DIV/0!</v>
      </c>
    </row>
    <row r="183" spans="1:14" ht="20.100000000000001" customHeight="1" x14ac:dyDescent="0.25">
      <c r="A183" s="1" t="s">
        <v>455</v>
      </c>
      <c r="B183" s="73" t="s">
        <v>205</v>
      </c>
      <c r="C183" s="66" t="s">
        <v>192</v>
      </c>
      <c r="D183" s="66"/>
      <c r="E183" s="73">
        <v>5</v>
      </c>
      <c r="F183" s="74">
        <f t="shared" si="10"/>
        <v>0.25</v>
      </c>
      <c r="G183" s="73">
        <f t="shared" si="11"/>
        <v>1.25</v>
      </c>
      <c r="H183" s="73" t="s">
        <v>205</v>
      </c>
      <c r="I183" s="75"/>
      <c r="J183" s="73">
        <f>+Tabel24[[#This Row],[stk 5 dage buffer ]]*Tabel24[[#This Row],[inkøbspris pr stk]]</f>
        <v>0</v>
      </c>
      <c r="K183" s="70"/>
      <c r="L183" s="70"/>
      <c r="M183" s="70"/>
      <c r="N183" s="72" t="e">
        <f>Tabel24[[#This Row],[antal containere]]*N180</f>
        <v>#DIV/0!</v>
      </c>
    </row>
    <row r="184" spans="1:14" ht="20.100000000000001" customHeight="1" x14ac:dyDescent="0.25">
      <c r="A184" s="1" t="s">
        <v>456</v>
      </c>
      <c r="B184" s="73" t="s">
        <v>205</v>
      </c>
      <c r="C184" s="66" t="s">
        <v>193</v>
      </c>
      <c r="D184" s="66"/>
      <c r="E184" s="73">
        <v>2</v>
      </c>
      <c r="F184" s="74">
        <f t="shared" si="10"/>
        <v>0.1</v>
      </c>
      <c r="G184" s="73">
        <f t="shared" si="11"/>
        <v>0.5</v>
      </c>
      <c r="H184" s="73" t="s">
        <v>205</v>
      </c>
      <c r="I184" s="75"/>
      <c r="J184" s="73">
        <f>+Tabel24[[#This Row],[stk 5 dage buffer ]]*Tabel24[[#This Row],[inkøbspris pr stk]]</f>
        <v>0</v>
      </c>
      <c r="K184" s="70"/>
      <c r="L184" s="70"/>
      <c r="M184" s="70"/>
      <c r="N184" s="72" t="e">
        <f>Tabel24[[#This Row],[antal containere]]*N181</f>
        <v>#DIV/0!</v>
      </c>
    </row>
    <row r="185" spans="1:14" ht="20.100000000000001" customHeight="1" x14ac:dyDescent="0.25">
      <c r="A185" s="1" t="s">
        <v>457</v>
      </c>
      <c r="B185" s="73" t="s">
        <v>204</v>
      </c>
      <c r="C185" s="66" t="s">
        <v>194</v>
      </c>
      <c r="D185" s="66" t="s">
        <v>458</v>
      </c>
      <c r="E185" s="73">
        <v>484</v>
      </c>
      <c r="F185" s="74">
        <f t="shared" si="10"/>
        <v>24.2</v>
      </c>
      <c r="G185" s="73">
        <f t="shared" si="11"/>
        <v>121</v>
      </c>
      <c r="H185" s="73" t="s">
        <v>204</v>
      </c>
      <c r="I185" s="75"/>
      <c r="J185" s="73">
        <f>+Tabel24[[#This Row],[stk 5 dage buffer ]]*Tabel24[[#This Row],[inkøbspris pr stk]]</f>
        <v>0</v>
      </c>
      <c r="K185" s="70"/>
      <c r="L185" s="70"/>
      <c r="M185" s="70"/>
      <c r="N185" s="72" t="e">
        <f>Tabel24[[#This Row],[antal containere]]*N182</f>
        <v>#DIV/0!</v>
      </c>
    </row>
    <row r="186" spans="1:14" ht="20.100000000000001" customHeight="1" x14ac:dyDescent="0.25">
      <c r="A186" s="1"/>
      <c r="B186" s="58"/>
      <c r="C186" s="57"/>
      <c r="D186" s="57"/>
      <c r="E186" s="58">
        <v>309686</v>
      </c>
      <c r="F186" s="59">
        <f>+E186/20</f>
        <v>15484.3</v>
      </c>
      <c r="G186" s="58">
        <f t="shared" ref="G186" si="12">+F186*5</f>
        <v>77421.5</v>
      </c>
      <c r="H186" s="58"/>
      <c r="I186" s="60"/>
      <c r="J186" s="58"/>
    </row>
  </sheetData>
  <pageMargins left="0.7" right="0.7" top="0.75" bottom="0.75" header="0.3" footer="0.3"/>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3BEF-F9B5-4A81-A749-7CC73DC8CBB9}">
  <dimension ref="A1:BC20"/>
  <sheetViews>
    <sheetView workbookViewId="0"/>
  </sheetViews>
  <sheetFormatPr defaultRowHeight="15" x14ac:dyDescent="0.25"/>
  <cols>
    <col min="1" max="1" width="19.7109375" customWidth="1"/>
    <col min="2" max="2" width="29" customWidth="1"/>
    <col min="3" max="3" width="12.140625" customWidth="1"/>
    <col min="4" max="4" width="12.7109375" bestFit="1" customWidth="1"/>
    <col min="5" max="5" width="23.5703125" customWidth="1"/>
    <col min="6" max="6" width="17.140625" customWidth="1"/>
    <col min="7" max="8" width="27.42578125" customWidth="1"/>
    <col min="9" max="9" width="23.28515625" customWidth="1"/>
    <col min="10" max="10" width="16.42578125" customWidth="1"/>
    <col min="11" max="11" width="14.7109375" customWidth="1"/>
    <col min="12" max="12" width="15.7109375" customWidth="1"/>
    <col min="13" max="13" width="18.42578125" customWidth="1"/>
    <col min="14" max="14" width="19.85546875" customWidth="1"/>
    <col min="16" max="16" width="20.5703125" customWidth="1"/>
    <col min="17" max="17" width="39.7109375" customWidth="1"/>
    <col min="18" max="18" width="32.42578125" customWidth="1"/>
    <col min="19" max="19" width="29" customWidth="1"/>
  </cols>
  <sheetData>
    <row r="1" spans="1:55" ht="15.75" thickBot="1" x14ac:dyDescent="0.3">
      <c r="B1" s="271" t="s">
        <v>549</v>
      </c>
      <c r="C1" s="272"/>
      <c r="D1" s="272"/>
      <c r="E1" s="272"/>
      <c r="F1" s="272"/>
      <c r="G1" s="272"/>
      <c r="H1" s="272"/>
      <c r="I1" s="272"/>
      <c r="J1" s="168">
        <v>2024</v>
      </c>
      <c r="K1" s="168">
        <v>2025</v>
      </c>
      <c r="L1" s="169" t="s">
        <v>550</v>
      </c>
    </row>
    <row r="2" spans="1:55" s="171" customFormat="1" ht="30.75" thickBot="1" x14ac:dyDescent="0.3">
      <c r="B2" s="170" t="s">
        <v>216</v>
      </c>
      <c r="C2" s="171" t="s">
        <v>223</v>
      </c>
      <c r="D2" s="171" t="s">
        <v>551</v>
      </c>
      <c r="E2" s="171" t="s">
        <v>217</v>
      </c>
      <c r="F2" s="171" t="s">
        <v>552</v>
      </c>
      <c r="G2" s="171" t="s">
        <v>553</v>
      </c>
      <c r="H2" s="194" t="s">
        <v>662</v>
      </c>
      <c r="I2" s="171" t="s">
        <v>554</v>
      </c>
      <c r="J2" s="171" t="s">
        <v>555</v>
      </c>
      <c r="K2" s="171" t="s">
        <v>555</v>
      </c>
      <c r="L2" s="172" t="s">
        <v>555</v>
      </c>
      <c r="M2" s="171" t="s">
        <v>531</v>
      </c>
      <c r="N2" s="171" t="s">
        <v>519</v>
      </c>
      <c r="O2" s="171" t="s">
        <v>556</v>
      </c>
      <c r="P2" s="171" t="s">
        <v>521</v>
      </c>
      <c r="Q2" s="173" t="s">
        <v>557</v>
      </c>
      <c r="R2" s="173" t="s">
        <v>558</v>
      </c>
      <c r="S2" s="173" t="s">
        <v>559</v>
      </c>
    </row>
    <row r="3" spans="1:55" x14ac:dyDescent="0.25">
      <c r="A3">
        <v>2</v>
      </c>
      <c r="B3" s="174" t="s">
        <v>565</v>
      </c>
      <c r="C3" s="174" t="s">
        <v>566</v>
      </c>
      <c r="D3" s="174" t="s">
        <v>567</v>
      </c>
      <c r="E3" s="174" t="s">
        <v>568</v>
      </c>
      <c r="F3">
        <v>2</v>
      </c>
      <c r="G3" s="168" t="s">
        <v>569</v>
      </c>
      <c r="H3" s="193" t="s">
        <v>463</v>
      </c>
      <c r="I3" s="175" t="s">
        <v>560</v>
      </c>
      <c r="J3" s="176">
        <v>518</v>
      </c>
      <c r="K3" s="176"/>
      <c r="L3" s="177">
        <v>518</v>
      </c>
      <c r="M3" s="175" t="s">
        <v>570</v>
      </c>
      <c r="N3" s="273"/>
      <c r="O3" s="175" t="s">
        <v>571</v>
      </c>
      <c r="P3" s="175" t="s">
        <v>572</v>
      </c>
      <c r="Q3" s="175" t="s">
        <v>573</v>
      </c>
      <c r="R3" s="175" t="s">
        <v>574</v>
      </c>
      <c r="S3" s="175" t="s">
        <v>564</v>
      </c>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row>
    <row r="4" spans="1:55" x14ac:dyDescent="0.25">
      <c r="A4">
        <v>5</v>
      </c>
      <c r="B4" s="174" t="s">
        <v>578</v>
      </c>
      <c r="C4" s="174" t="s">
        <v>566</v>
      </c>
      <c r="D4" s="174" t="s">
        <v>567</v>
      </c>
      <c r="E4" s="174" t="s">
        <v>579</v>
      </c>
      <c r="F4">
        <v>5</v>
      </c>
      <c r="G4" s="168" t="s">
        <v>580</v>
      </c>
      <c r="H4" s="193" t="s">
        <v>463</v>
      </c>
      <c r="I4" s="175" t="s">
        <v>560</v>
      </c>
      <c r="J4" s="176">
        <v>1014</v>
      </c>
      <c r="K4" s="176"/>
      <c r="L4" s="177">
        <v>1014</v>
      </c>
      <c r="M4" s="175" t="s">
        <v>570</v>
      </c>
      <c r="N4" s="273"/>
      <c r="O4" s="175" t="s">
        <v>571</v>
      </c>
      <c r="P4" s="175" t="s">
        <v>572</v>
      </c>
      <c r="Q4" s="175" t="s">
        <v>573</v>
      </c>
      <c r="R4" s="175" t="s">
        <v>574</v>
      </c>
      <c r="S4" s="175" t="s">
        <v>564</v>
      </c>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row>
    <row r="5" spans="1:55" x14ac:dyDescent="0.25">
      <c r="A5">
        <v>8</v>
      </c>
      <c r="B5" s="274" t="s">
        <v>581</v>
      </c>
      <c r="C5" s="274" t="s">
        <v>259</v>
      </c>
      <c r="D5" s="274" t="s">
        <v>575</v>
      </c>
      <c r="E5" s="174" t="s">
        <v>582</v>
      </c>
      <c r="F5">
        <v>8</v>
      </c>
      <c r="G5" s="168" t="s">
        <v>583</v>
      </c>
      <c r="H5" s="193" t="s">
        <v>463</v>
      </c>
      <c r="I5" s="175" t="s">
        <v>560</v>
      </c>
      <c r="J5" s="176"/>
      <c r="K5" s="176">
        <v>1032</v>
      </c>
      <c r="L5" s="177">
        <v>1032</v>
      </c>
      <c r="M5" s="175" t="s">
        <v>561</v>
      </c>
      <c r="N5" s="273"/>
      <c r="O5" s="175" t="s">
        <v>576</v>
      </c>
      <c r="P5" s="175" t="s">
        <v>563</v>
      </c>
      <c r="Q5" s="175" t="s">
        <v>577</v>
      </c>
      <c r="R5" s="175" t="s">
        <v>577</v>
      </c>
      <c r="S5" s="175" t="s">
        <v>564</v>
      </c>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row>
    <row r="6" spans="1:55" x14ac:dyDescent="0.25">
      <c r="A6">
        <v>9</v>
      </c>
      <c r="B6" s="274" t="s">
        <v>581</v>
      </c>
      <c r="C6" s="274" t="s">
        <v>259</v>
      </c>
      <c r="D6" s="274" t="s">
        <v>575</v>
      </c>
      <c r="E6" s="174" t="s">
        <v>584</v>
      </c>
      <c r="F6">
        <v>9</v>
      </c>
      <c r="G6" s="168" t="s">
        <v>585</v>
      </c>
      <c r="H6" s="193" t="s">
        <v>463</v>
      </c>
      <c r="I6" s="175" t="s">
        <v>560</v>
      </c>
      <c r="J6" s="176"/>
      <c r="K6" s="176">
        <v>497</v>
      </c>
      <c r="L6" s="177">
        <v>497</v>
      </c>
      <c r="M6" s="175" t="s">
        <v>561</v>
      </c>
      <c r="N6" s="273"/>
      <c r="O6" s="175" t="s">
        <v>576</v>
      </c>
      <c r="P6" s="175" t="s">
        <v>563</v>
      </c>
      <c r="Q6" s="175" t="s">
        <v>577</v>
      </c>
      <c r="R6" s="175" t="s">
        <v>577</v>
      </c>
      <c r="S6" s="175" t="s">
        <v>564</v>
      </c>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row>
    <row r="7" spans="1:55" x14ac:dyDescent="0.25">
      <c r="A7">
        <v>10</v>
      </c>
      <c r="B7" s="274" t="s">
        <v>586</v>
      </c>
      <c r="C7" s="274" t="s">
        <v>587</v>
      </c>
      <c r="D7" s="274" t="s">
        <v>588</v>
      </c>
      <c r="E7" s="174" t="s">
        <v>589</v>
      </c>
      <c r="F7">
        <v>10</v>
      </c>
      <c r="G7" s="204" t="s">
        <v>590</v>
      </c>
      <c r="H7" s="193" t="s">
        <v>463</v>
      </c>
      <c r="I7" s="175" t="s">
        <v>560</v>
      </c>
      <c r="J7" s="176"/>
      <c r="K7" s="176">
        <v>195</v>
      </c>
      <c r="L7" s="177">
        <v>195</v>
      </c>
      <c r="M7" s="175" t="s">
        <v>561</v>
      </c>
      <c r="N7" s="273"/>
      <c r="O7" s="175" t="s">
        <v>591</v>
      </c>
      <c r="P7" s="175" t="s">
        <v>572</v>
      </c>
      <c r="Q7" s="175" t="s">
        <v>592</v>
      </c>
      <c r="R7" s="175" t="s">
        <v>592</v>
      </c>
      <c r="S7" s="175" t="s">
        <v>564</v>
      </c>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row>
    <row r="8" spans="1:55" x14ac:dyDescent="0.25">
      <c r="A8">
        <v>11</v>
      </c>
      <c r="B8" s="274" t="s">
        <v>593</v>
      </c>
      <c r="C8" s="274" t="s">
        <v>587</v>
      </c>
      <c r="D8" s="274" t="s">
        <v>588</v>
      </c>
      <c r="E8" s="174" t="s">
        <v>594</v>
      </c>
      <c r="F8">
        <v>11</v>
      </c>
      <c r="G8" s="204" t="s">
        <v>595</v>
      </c>
      <c r="H8" s="193" t="s">
        <v>463</v>
      </c>
      <c r="I8" s="175" t="s">
        <v>560</v>
      </c>
      <c r="J8" s="176"/>
      <c r="K8" s="176">
        <v>298</v>
      </c>
      <c r="L8" s="177">
        <v>298</v>
      </c>
      <c r="M8" s="175" t="s">
        <v>561</v>
      </c>
      <c r="N8" s="273"/>
      <c r="O8" s="175" t="s">
        <v>591</v>
      </c>
      <c r="P8" s="175" t="s">
        <v>572</v>
      </c>
      <c r="Q8" s="175" t="s">
        <v>592</v>
      </c>
      <c r="R8" s="175" t="s">
        <v>592</v>
      </c>
      <c r="S8" s="175" t="s">
        <v>564</v>
      </c>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row>
    <row r="9" spans="1:55" x14ac:dyDescent="0.25">
      <c r="A9">
        <v>12</v>
      </c>
      <c r="B9" s="274" t="s">
        <v>593</v>
      </c>
      <c r="C9" s="274" t="s">
        <v>587</v>
      </c>
      <c r="D9" s="199" t="s">
        <v>596</v>
      </c>
      <c r="E9" s="174" t="s">
        <v>597</v>
      </c>
      <c r="F9">
        <v>12</v>
      </c>
      <c r="G9" s="204" t="s">
        <v>598</v>
      </c>
      <c r="H9" s="193" t="s">
        <v>463</v>
      </c>
      <c r="I9" s="175" t="s">
        <v>560</v>
      </c>
      <c r="J9" s="176"/>
      <c r="K9" s="176">
        <v>184</v>
      </c>
      <c r="L9" s="177">
        <v>184</v>
      </c>
      <c r="M9" s="175" t="s">
        <v>561</v>
      </c>
      <c r="N9" s="273"/>
      <c r="O9" s="175" t="s">
        <v>591</v>
      </c>
      <c r="P9" s="175" t="s">
        <v>572</v>
      </c>
      <c r="Q9" s="175" t="s">
        <v>592</v>
      </c>
      <c r="R9" s="175" t="s">
        <v>592</v>
      </c>
      <c r="S9" s="175" t="s">
        <v>564</v>
      </c>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row>
    <row r="10" spans="1:55" x14ac:dyDescent="0.25">
      <c r="A10">
        <v>13</v>
      </c>
      <c r="B10" s="274" t="s">
        <v>593</v>
      </c>
      <c r="C10" s="274" t="s">
        <v>599</v>
      </c>
      <c r="D10" s="274" t="s">
        <v>600</v>
      </c>
      <c r="E10" s="174" t="s">
        <v>601</v>
      </c>
      <c r="F10">
        <v>13</v>
      </c>
      <c r="G10" s="204" t="s">
        <v>602</v>
      </c>
      <c r="H10" s="193" t="s">
        <v>463</v>
      </c>
      <c r="I10" s="175" t="s">
        <v>603</v>
      </c>
      <c r="J10" s="176"/>
      <c r="K10" s="176"/>
      <c r="L10" s="177">
        <v>96</v>
      </c>
      <c r="M10" s="175" t="s">
        <v>604</v>
      </c>
      <c r="N10" s="273"/>
      <c r="O10" s="175" t="s">
        <v>605</v>
      </c>
      <c r="P10" s="175" t="s">
        <v>606</v>
      </c>
      <c r="Q10" s="175" t="s">
        <v>607</v>
      </c>
      <c r="R10" s="175" t="s">
        <v>607</v>
      </c>
      <c r="S10" s="175" t="s">
        <v>564</v>
      </c>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row>
    <row r="11" spans="1:55" x14ac:dyDescent="0.25">
      <c r="A11">
        <v>14</v>
      </c>
      <c r="B11" s="274" t="s">
        <v>593</v>
      </c>
      <c r="C11" s="274" t="s">
        <v>599</v>
      </c>
      <c r="D11" s="274" t="s">
        <v>600</v>
      </c>
      <c r="E11" s="174" t="s">
        <v>608</v>
      </c>
      <c r="F11">
        <v>14</v>
      </c>
      <c r="G11" s="204" t="s">
        <v>609</v>
      </c>
      <c r="H11" s="193" t="s">
        <v>463</v>
      </c>
      <c r="I11" s="175" t="s">
        <v>603</v>
      </c>
      <c r="J11" s="176"/>
      <c r="K11" s="176"/>
      <c r="L11" s="177">
        <v>96</v>
      </c>
      <c r="M11" s="175" t="s">
        <v>604</v>
      </c>
      <c r="N11" s="273"/>
      <c r="O11" s="175" t="s">
        <v>605</v>
      </c>
      <c r="P11" s="175" t="s">
        <v>606</v>
      </c>
      <c r="Q11" s="175" t="s">
        <v>607</v>
      </c>
      <c r="R11" s="175" t="s">
        <v>607</v>
      </c>
      <c r="S11" s="175" t="s">
        <v>564</v>
      </c>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row>
    <row r="12" spans="1:55" x14ac:dyDescent="0.25">
      <c r="A12">
        <v>15</v>
      </c>
      <c r="B12" s="174" t="s">
        <v>610</v>
      </c>
      <c r="C12" s="174" t="s">
        <v>587</v>
      </c>
      <c r="D12" s="199" t="s">
        <v>596</v>
      </c>
      <c r="E12" s="174" t="s">
        <v>611</v>
      </c>
      <c r="F12">
        <v>15</v>
      </c>
      <c r="G12" s="204" t="s">
        <v>612</v>
      </c>
      <c r="H12" s="193" t="s">
        <v>463</v>
      </c>
      <c r="I12" s="175" t="s">
        <v>613</v>
      </c>
      <c r="J12" s="176">
        <v>6080</v>
      </c>
      <c r="K12" s="176">
        <v>3960</v>
      </c>
      <c r="L12" s="177">
        <v>10040</v>
      </c>
      <c r="M12" s="175" t="s">
        <v>561</v>
      </c>
      <c r="N12" s="273"/>
      <c r="O12" s="175" t="s">
        <v>591</v>
      </c>
      <c r="P12" s="175" t="s">
        <v>572</v>
      </c>
      <c r="Q12" s="175" t="s">
        <v>592</v>
      </c>
      <c r="R12" s="175" t="s">
        <v>592</v>
      </c>
      <c r="S12" s="175" t="s">
        <v>564</v>
      </c>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row>
    <row r="13" spans="1:55" ht="15" customHeight="1" x14ac:dyDescent="0.25">
      <c r="A13">
        <v>17</v>
      </c>
      <c r="B13" s="274" t="s">
        <v>614</v>
      </c>
      <c r="C13" s="274" t="s">
        <v>615</v>
      </c>
      <c r="D13" s="274" t="s">
        <v>616</v>
      </c>
      <c r="E13" s="174" t="s">
        <v>617</v>
      </c>
      <c r="F13">
        <v>17</v>
      </c>
      <c r="G13" s="168" t="s">
        <v>618</v>
      </c>
      <c r="H13" s="193" t="s">
        <v>463</v>
      </c>
      <c r="I13" s="175" t="s">
        <v>560</v>
      </c>
      <c r="J13" s="176"/>
      <c r="K13" s="176">
        <v>2996</v>
      </c>
      <c r="L13" s="177">
        <v>2996</v>
      </c>
      <c r="M13" s="175" t="s">
        <v>619</v>
      </c>
      <c r="N13" s="273"/>
      <c r="O13" s="175" t="s">
        <v>620</v>
      </c>
      <c r="P13" s="175" t="s">
        <v>621</v>
      </c>
      <c r="Q13" s="175" t="s">
        <v>622</v>
      </c>
      <c r="R13" s="175" t="s">
        <v>623</v>
      </c>
      <c r="S13" s="175" t="s">
        <v>624</v>
      </c>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row>
    <row r="14" spans="1:55" x14ac:dyDescent="0.25">
      <c r="A14">
        <v>18</v>
      </c>
      <c r="B14" s="274" t="s">
        <v>230</v>
      </c>
      <c r="C14" s="274" t="s">
        <v>615</v>
      </c>
      <c r="D14" s="274" t="s">
        <v>616</v>
      </c>
      <c r="E14" s="174" t="s">
        <v>625</v>
      </c>
      <c r="F14">
        <v>18</v>
      </c>
      <c r="G14" s="168" t="s">
        <v>626</v>
      </c>
      <c r="H14" s="193" t="s">
        <v>463</v>
      </c>
      <c r="I14" s="175" t="s">
        <v>560</v>
      </c>
      <c r="J14" s="176"/>
      <c r="K14" s="176">
        <v>497</v>
      </c>
      <c r="L14" s="177">
        <v>497</v>
      </c>
      <c r="M14" s="175" t="s">
        <v>619</v>
      </c>
      <c r="N14" s="273"/>
      <c r="O14" s="175" t="s">
        <v>620</v>
      </c>
      <c r="P14" s="175" t="s">
        <v>621</v>
      </c>
      <c r="Q14" s="175" t="s">
        <v>622</v>
      </c>
      <c r="R14" s="175" t="s">
        <v>623</v>
      </c>
      <c r="S14" s="175" t="s">
        <v>624</v>
      </c>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row>
    <row r="15" spans="1:55" x14ac:dyDescent="0.25">
      <c r="A15">
        <v>19</v>
      </c>
      <c r="B15" s="274" t="s">
        <v>230</v>
      </c>
      <c r="C15" s="274" t="s">
        <v>615</v>
      </c>
      <c r="D15" s="274" t="s">
        <v>616</v>
      </c>
      <c r="E15" s="174" t="s">
        <v>627</v>
      </c>
      <c r="F15">
        <v>19</v>
      </c>
      <c r="G15" s="168" t="s">
        <v>628</v>
      </c>
      <c r="H15" s="193" t="s">
        <v>463</v>
      </c>
      <c r="I15" s="175" t="s">
        <v>560</v>
      </c>
      <c r="J15" s="176"/>
      <c r="K15" s="176">
        <v>2993</v>
      </c>
      <c r="L15" s="177">
        <v>2993</v>
      </c>
      <c r="M15" s="175" t="s">
        <v>619</v>
      </c>
      <c r="N15" s="273"/>
      <c r="O15" s="175" t="s">
        <v>620</v>
      </c>
      <c r="P15" s="175" t="s">
        <v>621</v>
      </c>
      <c r="Q15" s="175" t="s">
        <v>622</v>
      </c>
      <c r="R15" s="175" t="s">
        <v>623</v>
      </c>
      <c r="S15" s="175" t="s">
        <v>624</v>
      </c>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row>
    <row r="16" spans="1:55" x14ac:dyDescent="0.25">
      <c r="A16">
        <v>20</v>
      </c>
      <c r="B16" s="274" t="s">
        <v>230</v>
      </c>
      <c r="C16" s="174" t="s">
        <v>629</v>
      </c>
      <c r="D16" s="174" t="s">
        <v>616</v>
      </c>
      <c r="E16" s="174" t="s">
        <v>630</v>
      </c>
      <c r="F16">
        <v>20</v>
      </c>
      <c r="G16" s="168" t="s">
        <v>631</v>
      </c>
      <c r="H16" s="193" t="s">
        <v>463</v>
      </c>
      <c r="I16" s="175" t="s">
        <v>632</v>
      </c>
      <c r="J16" s="176">
        <v>3000</v>
      </c>
      <c r="K16" s="176"/>
      <c r="L16" s="177">
        <v>3000</v>
      </c>
      <c r="M16" s="175" t="s">
        <v>633</v>
      </c>
      <c r="N16" s="273"/>
      <c r="O16" s="175" t="s">
        <v>634</v>
      </c>
      <c r="P16" s="175" t="s">
        <v>621</v>
      </c>
      <c r="Q16" s="175" t="s">
        <v>635</v>
      </c>
      <c r="R16" s="175" t="s">
        <v>636</v>
      </c>
      <c r="S16" s="175" t="s">
        <v>637</v>
      </c>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row>
    <row r="17" spans="1:55" s="178" customFormat="1" x14ac:dyDescent="0.25">
      <c r="A17">
        <v>21</v>
      </c>
      <c r="B17" s="274" t="s">
        <v>230</v>
      </c>
      <c r="C17" s="174" t="s">
        <v>248</v>
      </c>
      <c r="D17" s="174" t="s">
        <v>616</v>
      </c>
      <c r="E17" s="174" t="s">
        <v>638</v>
      </c>
      <c r="F17">
        <v>21</v>
      </c>
      <c r="G17" s="168" t="s">
        <v>639</v>
      </c>
      <c r="H17" s="193" t="s">
        <v>463</v>
      </c>
      <c r="I17" s="175" t="s">
        <v>632</v>
      </c>
      <c r="J17" s="176">
        <v>3000</v>
      </c>
      <c r="K17" s="176"/>
      <c r="L17" s="177">
        <v>3000</v>
      </c>
      <c r="M17" s="175" t="s">
        <v>633</v>
      </c>
      <c r="N17" s="273"/>
      <c r="O17" s="175" t="s">
        <v>634</v>
      </c>
      <c r="P17" s="175" t="s">
        <v>621</v>
      </c>
      <c r="Q17" s="175" t="s">
        <v>640</v>
      </c>
      <c r="R17" s="175" t="s">
        <v>636</v>
      </c>
      <c r="S17" s="175" t="s">
        <v>637</v>
      </c>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row>
    <row r="18" spans="1:55" ht="15.75" customHeight="1" x14ac:dyDescent="0.25">
      <c r="A18">
        <v>22</v>
      </c>
      <c r="B18" s="274" t="s">
        <v>230</v>
      </c>
      <c r="C18" s="174" t="s">
        <v>641</v>
      </c>
      <c r="D18" s="174" t="s">
        <v>642</v>
      </c>
      <c r="E18" s="174" t="s">
        <v>249</v>
      </c>
      <c r="F18">
        <v>22</v>
      </c>
      <c r="G18" s="168" t="s">
        <v>643</v>
      </c>
      <c r="H18" s="193" t="s">
        <v>463</v>
      </c>
      <c r="I18" s="174" t="s">
        <v>644</v>
      </c>
      <c r="J18" s="176"/>
      <c r="K18" s="176">
        <v>600</v>
      </c>
      <c r="L18" s="177">
        <v>600</v>
      </c>
      <c r="M18" s="174" t="s">
        <v>645</v>
      </c>
      <c r="N18" s="273"/>
      <c r="O18" s="175" t="s">
        <v>646</v>
      </c>
      <c r="P18" s="175" t="s">
        <v>621</v>
      </c>
      <c r="Q18" s="175" t="s">
        <v>647</v>
      </c>
      <c r="R18" s="175" t="s">
        <v>636</v>
      </c>
      <c r="S18" s="175" t="s">
        <v>648</v>
      </c>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row>
    <row r="20" spans="1:55" ht="135" customHeight="1" x14ac:dyDescent="0.25">
      <c r="B20" s="270" t="s">
        <v>726</v>
      </c>
      <c r="C20" s="270"/>
      <c r="D20" s="270"/>
      <c r="E20" s="270"/>
      <c r="F20" s="270"/>
      <c r="G20" s="270"/>
      <c r="H20" s="270"/>
      <c r="I20" s="270"/>
    </row>
  </sheetData>
  <mergeCells count="14">
    <mergeCell ref="B20:I20"/>
    <mergeCell ref="B1:I1"/>
    <mergeCell ref="N3:N18"/>
    <mergeCell ref="B5:B6"/>
    <mergeCell ref="C5:C6"/>
    <mergeCell ref="D5:D6"/>
    <mergeCell ref="B7:B11"/>
    <mergeCell ref="C7:C9"/>
    <mergeCell ref="D7:D8"/>
    <mergeCell ref="C10:C11"/>
    <mergeCell ref="D10:D11"/>
    <mergeCell ref="B13:B18"/>
    <mergeCell ref="C13:C15"/>
    <mergeCell ref="D13:D15"/>
  </mergeCells>
  <dataValidations count="1">
    <dataValidation type="list" allowBlank="1" showInputMessage="1" showErrorMessage="1" sqref="H3:H18" xr:uid="{32CA5F70-D712-4EFA-AEFE-A738C20E065C}">
      <formula1>"ja, nej"</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087E-3ECB-4C60-AAA8-E72C6A2634C9}">
  <dimension ref="A1:Q20"/>
  <sheetViews>
    <sheetView workbookViewId="0"/>
  </sheetViews>
  <sheetFormatPr defaultRowHeight="15" x14ac:dyDescent="0.25"/>
  <cols>
    <col min="1" max="1" width="8.28515625" customWidth="1"/>
    <col min="2" max="2" width="22.28515625" bestFit="1" customWidth="1"/>
    <col min="3" max="3" width="25.85546875" bestFit="1" customWidth="1"/>
    <col min="4" max="4" width="24.7109375" bestFit="1" customWidth="1"/>
    <col min="5" max="5" width="29.85546875" bestFit="1" customWidth="1"/>
    <col min="6" max="6" width="25.28515625" bestFit="1" customWidth="1"/>
    <col min="7" max="7" width="6.7109375" bestFit="1" customWidth="1"/>
    <col min="8" max="8" width="11.7109375" bestFit="1" customWidth="1"/>
    <col min="9" max="9" width="14" bestFit="1" customWidth="1"/>
    <col min="10" max="10" width="15.42578125" bestFit="1" customWidth="1"/>
    <col min="11" max="11" width="9.7109375" bestFit="1" customWidth="1"/>
    <col min="12" max="12" width="8.28515625" bestFit="1" customWidth="1"/>
    <col min="15" max="15" width="0" hidden="1" customWidth="1"/>
    <col min="16" max="16" width="9.140625" style="40"/>
  </cols>
  <sheetData>
    <row r="1" spans="1:17" ht="45" x14ac:dyDescent="0.25">
      <c r="A1" s="25" t="s">
        <v>216</v>
      </c>
      <c r="B1" s="25" t="s">
        <v>217</v>
      </c>
      <c r="C1" s="25" t="s">
        <v>218</v>
      </c>
      <c r="D1" s="26" t="s">
        <v>219</v>
      </c>
      <c r="E1" s="25" t="s">
        <v>220</v>
      </c>
      <c r="F1" s="26" t="s">
        <v>221</v>
      </c>
      <c r="G1" s="25" t="s">
        <v>222</v>
      </c>
      <c r="H1" s="25" t="s">
        <v>223</v>
      </c>
      <c r="I1" s="25" t="s">
        <v>224</v>
      </c>
      <c r="J1" s="25" t="s">
        <v>225</v>
      </c>
      <c r="K1" s="25" t="s">
        <v>226</v>
      </c>
      <c r="L1" s="25" t="s">
        <v>227</v>
      </c>
      <c r="M1" s="26" t="s">
        <v>228</v>
      </c>
      <c r="N1" s="26" t="s">
        <v>229</v>
      </c>
      <c r="P1" s="40" t="s">
        <v>289</v>
      </c>
    </row>
    <row r="2" spans="1:17" x14ac:dyDescent="0.25">
      <c r="A2" s="27" t="s">
        <v>230</v>
      </c>
      <c r="B2" s="27" t="s">
        <v>231</v>
      </c>
      <c r="C2" s="27" t="s">
        <v>232</v>
      </c>
      <c r="D2" s="27" t="s">
        <v>233</v>
      </c>
      <c r="E2" s="27" t="s">
        <v>234</v>
      </c>
      <c r="F2" s="27" t="s">
        <v>235</v>
      </c>
      <c r="G2" s="27"/>
      <c r="H2" s="28">
        <v>722</v>
      </c>
      <c r="I2" s="28">
        <v>8203</v>
      </c>
      <c r="J2" s="27" t="s">
        <v>236</v>
      </c>
      <c r="K2" s="27" t="s">
        <v>237</v>
      </c>
      <c r="L2" s="27"/>
      <c r="M2" s="29">
        <v>14.79</v>
      </c>
      <c r="N2" s="27">
        <f>L2*M2</f>
        <v>0</v>
      </c>
      <c r="P2" s="40">
        <f>0.48*(0.5*1)</f>
        <v>0.24</v>
      </c>
      <c r="Q2" s="27" t="s">
        <v>233</v>
      </c>
    </row>
    <row r="3" spans="1:17" x14ac:dyDescent="0.25">
      <c r="A3" s="27" t="s">
        <v>230</v>
      </c>
      <c r="B3" s="27" t="s">
        <v>238</v>
      </c>
      <c r="C3" s="27" t="s">
        <v>232</v>
      </c>
      <c r="D3" s="30" t="s">
        <v>239</v>
      </c>
      <c r="E3" s="31" t="s">
        <v>240</v>
      </c>
      <c r="F3" s="27" t="s">
        <v>235</v>
      </c>
      <c r="G3" s="27"/>
      <c r="H3" s="28">
        <v>722</v>
      </c>
      <c r="I3" s="28">
        <v>8203</v>
      </c>
      <c r="J3" s="27" t="s">
        <v>236</v>
      </c>
      <c r="K3" s="27" t="s">
        <v>237</v>
      </c>
      <c r="L3" s="27"/>
      <c r="M3" s="29">
        <v>28.53</v>
      </c>
      <c r="N3" s="27">
        <f t="shared" ref="N3:N20" si="0">L3*M3</f>
        <v>0</v>
      </c>
      <c r="P3" s="40">
        <f>0.48*(0.7*1.4)</f>
        <v>0.47039999999999993</v>
      </c>
      <c r="Q3" s="30" t="s">
        <v>239</v>
      </c>
    </row>
    <row r="4" spans="1:17" x14ac:dyDescent="0.25">
      <c r="A4" s="27" t="s">
        <v>230</v>
      </c>
      <c r="B4" s="27" t="s">
        <v>241</v>
      </c>
      <c r="C4" s="27"/>
      <c r="D4" s="27" t="s">
        <v>242</v>
      </c>
      <c r="E4" s="27" t="s">
        <v>243</v>
      </c>
      <c r="F4" s="27" t="s">
        <v>235</v>
      </c>
      <c r="G4" s="27"/>
      <c r="H4" s="28">
        <v>722</v>
      </c>
      <c r="I4" s="28">
        <v>8203</v>
      </c>
      <c r="J4" s="27" t="s">
        <v>236</v>
      </c>
      <c r="K4" s="27" t="s">
        <v>244</v>
      </c>
      <c r="L4" s="27">
        <v>0</v>
      </c>
      <c r="M4" s="32">
        <v>0</v>
      </c>
      <c r="N4" s="27">
        <f t="shared" si="0"/>
        <v>0</v>
      </c>
      <c r="P4" s="40">
        <f>0.48*(1*1.5)</f>
        <v>0.72</v>
      </c>
      <c r="Q4" s="27" t="s">
        <v>242</v>
      </c>
    </row>
    <row r="5" spans="1:17" x14ac:dyDescent="0.25">
      <c r="A5" s="28">
        <v>41</v>
      </c>
      <c r="B5" s="27" t="s">
        <v>241</v>
      </c>
      <c r="C5" s="27" t="s">
        <v>232</v>
      </c>
      <c r="D5" s="27" t="s">
        <v>245</v>
      </c>
      <c r="E5" s="27" t="s">
        <v>246</v>
      </c>
      <c r="F5" s="27" t="s">
        <v>247</v>
      </c>
      <c r="G5" s="27"/>
      <c r="H5" s="28" t="s">
        <v>248</v>
      </c>
      <c r="I5" s="28">
        <v>8203</v>
      </c>
      <c r="J5" s="27" t="s">
        <v>236</v>
      </c>
      <c r="K5" s="27" t="s">
        <v>237</v>
      </c>
      <c r="L5" s="27"/>
      <c r="M5" s="29">
        <v>2.2999999999999998</v>
      </c>
      <c r="N5" s="27">
        <f t="shared" si="0"/>
        <v>0</v>
      </c>
      <c r="P5" s="40">
        <f>0.48*(0.3*0.3)</f>
        <v>4.3199999999999995E-2</v>
      </c>
      <c r="Q5" s="27" t="s">
        <v>245</v>
      </c>
    </row>
    <row r="6" spans="1:17" x14ac:dyDescent="0.25">
      <c r="A6" s="28">
        <v>41</v>
      </c>
      <c r="B6" s="28" t="s">
        <v>249</v>
      </c>
      <c r="C6" s="27" t="s">
        <v>250</v>
      </c>
      <c r="D6" s="28" t="s">
        <v>251</v>
      </c>
      <c r="E6" s="28" t="s">
        <v>252</v>
      </c>
      <c r="F6" s="28" t="s">
        <v>253</v>
      </c>
      <c r="G6" s="28" t="s">
        <v>254</v>
      </c>
      <c r="H6" s="28">
        <v>724</v>
      </c>
      <c r="I6" s="28">
        <v>8010</v>
      </c>
      <c r="J6" s="27" t="s">
        <v>236</v>
      </c>
      <c r="K6" s="27" t="s">
        <v>237</v>
      </c>
      <c r="L6" s="27"/>
      <c r="M6" s="29">
        <v>17.09</v>
      </c>
      <c r="N6" s="27">
        <f t="shared" si="0"/>
        <v>0</v>
      </c>
      <c r="P6" s="40">
        <f>0.68*(0.5*0.7)</f>
        <v>0.23799999999999999</v>
      </c>
      <c r="Q6" s="28" t="s">
        <v>251</v>
      </c>
    </row>
    <row r="7" spans="1:17" x14ac:dyDescent="0.25">
      <c r="A7" s="33">
        <v>20</v>
      </c>
      <c r="B7" s="33" t="s">
        <v>255</v>
      </c>
      <c r="C7" s="34" t="s">
        <v>250</v>
      </c>
      <c r="D7" s="33" t="s">
        <v>256</v>
      </c>
      <c r="E7" s="33" t="s">
        <v>257</v>
      </c>
      <c r="F7" s="33" t="s">
        <v>258</v>
      </c>
      <c r="G7" s="33" t="s">
        <v>254</v>
      </c>
      <c r="H7" s="33" t="s">
        <v>259</v>
      </c>
      <c r="I7" s="33">
        <v>7000</v>
      </c>
      <c r="J7" s="34" t="s">
        <v>236</v>
      </c>
      <c r="K7" s="33" t="s">
        <v>237</v>
      </c>
      <c r="L7" s="33"/>
      <c r="M7" s="35">
        <v>37.08</v>
      </c>
      <c r="N7" s="27">
        <f t="shared" si="0"/>
        <v>0</v>
      </c>
      <c r="P7" s="40">
        <f>0.14*(1.6*2.9)</f>
        <v>0.64960000000000007</v>
      </c>
      <c r="Q7" s="33" t="s">
        <v>256</v>
      </c>
    </row>
    <row r="8" spans="1:17" x14ac:dyDescent="0.25">
      <c r="A8" s="33">
        <v>20</v>
      </c>
      <c r="B8" s="33" t="s">
        <v>260</v>
      </c>
      <c r="C8" s="34" t="s">
        <v>250</v>
      </c>
      <c r="D8" s="33" t="s">
        <v>261</v>
      </c>
      <c r="E8" s="33" t="s">
        <v>257</v>
      </c>
      <c r="F8" s="33" t="s">
        <v>258</v>
      </c>
      <c r="G8" s="33" t="s">
        <v>254</v>
      </c>
      <c r="H8" s="33" t="s">
        <v>259</v>
      </c>
      <c r="I8" s="33">
        <v>7000</v>
      </c>
      <c r="J8" s="34" t="s">
        <v>236</v>
      </c>
      <c r="K8" s="33" t="s">
        <v>237</v>
      </c>
      <c r="L8" s="33"/>
      <c r="M8" s="35">
        <v>51.94</v>
      </c>
      <c r="N8" s="27">
        <f t="shared" si="0"/>
        <v>0</v>
      </c>
      <c r="P8" s="40">
        <f>0.14*(2.4*2.9)</f>
        <v>0.97440000000000004</v>
      </c>
      <c r="Q8" s="33" t="s">
        <v>261</v>
      </c>
    </row>
    <row r="9" spans="1:17" x14ac:dyDescent="0.25">
      <c r="A9" s="33">
        <v>20</v>
      </c>
      <c r="B9" s="33" t="s">
        <v>262</v>
      </c>
      <c r="C9" s="34" t="s">
        <v>250</v>
      </c>
      <c r="D9" s="33" t="s">
        <v>263</v>
      </c>
      <c r="E9" s="33" t="s">
        <v>257</v>
      </c>
      <c r="F9" s="33" t="s">
        <v>258</v>
      </c>
      <c r="G9" s="33" t="s">
        <v>254</v>
      </c>
      <c r="H9" s="33" t="s">
        <v>259</v>
      </c>
      <c r="I9" s="33">
        <v>7000</v>
      </c>
      <c r="J9" s="34" t="s">
        <v>236</v>
      </c>
      <c r="K9" s="33" t="s">
        <v>237</v>
      </c>
      <c r="L9" s="33"/>
      <c r="M9" s="35">
        <v>62.26</v>
      </c>
      <c r="N9" s="27">
        <f t="shared" si="0"/>
        <v>0</v>
      </c>
      <c r="P9" s="40">
        <f>0.14*(2.8*3)</f>
        <v>1.1759999999999999</v>
      </c>
      <c r="Q9" s="33" t="s">
        <v>263</v>
      </c>
    </row>
    <row r="10" spans="1:17" x14ac:dyDescent="0.25">
      <c r="A10" s="33">
        <v>11</v>
      </c>
      <c r="B10" s="33" t="s">
        <v>241</v>
      </c>
      <c r="C10" s="34" t="s">
        <v>250</v>
      </c>
      <c r="D10" s="33" t="s">
        <v>264</v>
      </c>
      <c r="E10" s="33" t="s">
        <v>265</v>
      </c>
      <c r="F10" s="33" t="s">
        <v>266</v>
      </c>
      <c r="G10" s="33" t="s">
        <v>254</v>
      </c>
      <c r="H10" s="33" t="s">
        <v>267</v>
      </c>
      <c r="I10" s="33">
        <v>7234</v>
      </c>
      <c r="J10" s="33" t="s">
        <v>236</v>
      </c>
      <c r="K10" s="33" t="s">
        <v>244</v>
      </c>
      <c r="L10" s="33"/>
      <c r="M10" s="35">
        <v>89.23</v>
      </c>
      <c r="N10" s="27">
        <f t="shared" si="0"/>
        <v>0</v>
      </c>
      <c r="P10" s="40">
        <f>0.15*(1.4*2.35*2)</f>
        <v>0.98699999999999999</v>
      </c>
      <c r="Q10" s="33" t="s">
        <v>264</v>
      </c>
    </row>
    <row r="11" spans="1:17" x14ac:dyDescent="0.25">
      <c r="A11" s="33">
        <v>12</v>
      </c>
      <c r="B11" s="33" t="s">
        <v>241</v>
      </c>
      <c r="C11" s="34" t="s">
        <v>250</v>
      </c>
      <c r="D11" s="33" t="s">
        <v>268</v>
      </c>
      <c r="E11" s="33" t="s">
        <v>269</v>
      </c>
      <c r="F11" s="33" t="s">
        <v>266</v>
      </c>
      <c r="G11" s="33" t="s">
        <v>254</v>
      </c>
      <c r="H11" s="33" t="s">
        <v>267</v>
      </c>
      <c r="I11" s="33">
        <v>7235</v>
      </c>
      <c r="J11" s="33" t="s">
        <v>236</v>
      </c>
      <c r="K11" s="33" t="s">
        <v>244</v>
      </c>
      <c r="L11" s="33"/>
      <c r="M11" s="35">
        <v>27.37</v>
      </c>
      <c r="N11" s="27">
        <f t="shared" si="0"/>
        <v>0</v>
      </c>
      <c r="P11" s="40">
        <f>0.15*(0.75*1.15*2)</f>
        <v>0.25874999999999998</v>
      </c>
      <c r="Q11" s="33" t="s">
        <v>268</v>
      </c>
    </row>
    <row r="12" spans="1:17" x14ac:dyDescent="0.25">
      <c r="A12" s="33">
        <v>12</v>
      </c>
      <c r="B12" s="33" t="s">
        <v>241</v>
      </c>
      <c r="C12" s="34" t="s">
        <v>250</v>
      </c>
      <c r="D12" s="33" t="s">
        <v>270</v>
      </c>
      <c r="E12" s="33" t="s">
        <v>269</v>
      </c>
      <c r="F12" s="33" t="s">
        <v>266</v>
      </c>
      <c r="G12" s="33" t="s">
        <v>254</v>
      </c>
      <c r="H12" s="33" t="s">
        <v>267</v>
      </c>
      <c r="I12" s="33">
        <v>7236</v>
      </c>
      <c r="J12" s="33" t="s">
        <v>236</v>
      </c>
      <c r="K12" s="33" t="s">
        <v>244</v>
      </c>
      <c r="L12" s="33"/>
      <c r="M12" s="35">
        <v>16.5</v>
      </c>
      <c r="N12" s="27">
        <f t="shared" si="0"/>
        <v>0</v>
      </c>
      <c r="P12" s="40">
        <f>0.15*(0.65*0.8*2)</f>
        <v>0.156</v>
      </c>
      <c r="Q12" s="33" t="s">
        <v>270</v>
      </c>
    </row>
    <row r="13" spans="1:17" x14ac:dyDescent="0.25">
      <c r="A13" s="36">
        <v>30</v>
      </c>
      <c r="B13" s="37" t="s">
        <v>271</v>
      </c>
      <c r="C13" s="37" t="s">
        <v>250</v>
      </c>
      <c r="D13" s="37" t="s">
        <v>272</v>
      </c>
      <c r="E13" s="37" t="s">
        <v>273</v>
      </c>
      <c r="F13" s="37" t="s">
        <v>274</v>
      </c>
      <c r="G13" s="37" t="s">
        <v>254</v>
      </c>
      <c r="H13" s="38" t="s">
        <v>275</v>
      </c>
      <c r="I13" s="38">
        <v>6114</v>
      </c>
      <c r="J13" s="38" t="s">
        <v>236</v>
      </c>
      <c r="K13" s="38" t="s">
        <v>237</v>
      </c>
      <c r="L13" s="37"/>
      <c r="M13" s="39">
        <v>33.58</v>
      </c>
      <c r="N13" s="27">
        <f t="shared" si="0"/>
        <v>0</v>
      </c>
      <c r="P13" s="40">
        <f>0.215*(1.37*1.45)</f>
        <v>0.42709750000000002</v>
      </c>
      <c r="Q13" s="37" t="s">
        <v>272</v>
      </c>
    </row>
    <row r="14" spans="1:17" x14ac:dyDescent="0.25">
      <c r="A14" s="36">
        <v>30</v>
      </c>
      <c r="B14" s="37" t="s">
        <v>276</v>
      </c>
      <c r="C14" s="37" t="s">
        <v>250</v>
      </c>
      <c r="D14" s="37" t="s">
        <v>277</v>
      </c>
      <c r="E14" s="37" t="s">
        <v>273</v>
      </c>
      <c r="F14" s="37" t="s">
        <v>274</v>
      </c>
      <c r="G14" s="37" t="s">
        <v>254</v>
      </c>
      <c r="H14" s="38" t="s">
        <v>275</v>
      </c>
      <c r="I14" s="38">
        <v>6114</v>
      </c>
      <c r="J14" s="38" t="s">
        <v>236</v>
      </c>
      <c r="K14" s="38" t="s">
        <v>237</v>
      </c>
      <c r="L14" s="37"/>
      <c r="M14" s="39">
        <v>42.65</v>
      </c>
      <c r="N14" s="27">
        <f t="shared" si="0"/>
        <v>0</v>
      </c>
      <c r="P14" s="40">
        <f>0.215*(1.37*1.9)</f>
        <v>0.55964500000000006</v>
      </c>
      <c r="Q14" s="37" t="s">
        <v>277</v>
      </c>
    </row>
    <row r="15" spans="1:17" x14ac:dyDescent="0.25">
      <c r="A15" s="36">
        <v>30</v>
      </c>
      <c r="B15" s="37" t="s">
        <v>278</v>
      </c>
      <c r="C15" s="37" t="s">
        <v>250</v>
      </c>
      <c r="D15" s="37" t="s">
        <v>279</v>
      </c>
      <c r="E15" s="37" t="s">
        <v>273</v>
      </c>
      <c r="F15" s="37" t="s">
        <v>274</v>
      </c>
      <c r="G15" s="37" t="s">
        <v>254</v>
      </c>
      <c r="H15" s="38" t="s">
        <v>275</v>
      </c>
      <c r="I15" s="38">
        <v>6114</v>
      </c>
      <c r="J15" s="38" t="s">
        <v>236</v>
      </c>
      <c r="K15" s="38" t="s">
        <v>237</v>
      </c>
      <c r="L15" s="37"/>
      <c r="M15" s="39">
        <v>51.64</v>
      </c>
      <c r="N15" s="27">
        <f t="shared" si="0"/>
        <v>0</v>
      </c>
      <c r="P15" s="40">
        <f>0.215*(1.37*2.35)</f>
        <v>0.6921925000000001</v>
      </c>
      <c r="Q15" s="37" t="s">
        <v>279</v>
      </c>
    </row>
    <row r="16" spans="1:17" x14ac:dyDescent="0.25">
      <c r="A16" s="36">
        <v>32</v>
      </c>
      <c r="B16" s="37" t="s">
        <v>280</v>
      </c>
      <c r="C16" s="37" t="s">
        <v>250</v>
      </c>
      <c r="D16" s="37" t="s">
        <v>281</v>
      </c>
      <c r="E16" s="37" t="s">
        <v>282</v>
      </c>
      <c r="F16" s="37" t="s">
        <v>274</v>
      </c>
      <c r="G16" s="37" t="s">
        <v>254</v>
      </c>
      <c r="H16" s="38" t="s">
        <v>275</v>
      </c>
      <c r="I16" s="38">
        <v>6114</v>
      </c>
      <c r="J16" s="38" t="s">
        <v>236</v>
      </c>
      <c r="K16" s="38" t="s">
        <v>237</v>
      </c>
      <c r="L16" s="37"/>
      <c r="M16" s="39">
        <v>6.09</v>
      </c>
      <c r="N16" s="27">
        <f t="shared" si="0"/>
        <v>0</v>
      </c>
      <c r="P16" s="40">
        <f>0.215*(0.5*0.53)</f>
        <v>5.6975000000000005E-2</v>
      </c>
      <c r="Q16" s="37" t="s">
        <v>281</v>
      </c>
    </row>
    <row r="17" spans="1:14" x14ac:dyDescent="0.25">
      <c r="A17" s="36">
        <v>30</v>
      </c>
      <c r="B17" s="38" t="s">
        <v>283</v>
      </c>
      <c r="C17" s="37" t="s">
        <v>250</v>
      </c>
      <c r="D17" s="37" t="s">
        <v>272</v>
      </c>
      <c r="E17" s="37" t="s">
        <v>273</v>
      </c>
      <c r="F17" s="37" t="s">
        <v>284</v>
      </c>
      <c r="G17" s="37" t="s">
        <v>254</v>
      </c>
      <c r="H17" s="38" t="s">
        <v>275</v>
      </c>
      <c r="I17" s="38">
        <v>6114</v>
      </c>
      <c r="J17" s="37" t="s">
        <v>285</v>
      </c>
      <c r="K17" s="38" t="s">
        <v>237</v>
      </c>
      <c r="L17" s="37"/>
      <c r="M17" s="39">
        <v>42.95</v>
      </c>
      <c r="N17" s="27">
        <f t="shared" si="0"/>
        <v>0</v>
      </c>
    </row>
    <row r="18" spans="1:14" x14ac:dyDescent="0.25">
      <c r="A18" s="36">
        <v>30</v>
      </c>
      <c r="B18" s="38" t="s">
        <v>286</v>
      </c>
      <c r="C18" s="37" t="s">
        <v>250</v>
      </c>
      <c r="D18" s="37" t="s">
        <v>277</v>
      </c>
      <c r="E18" s="37" t="s">
        <v>273</v>
      </c>
      <c r="F18" s="37" t="s">
        <v>284</v>
      </c>
      <c r="G18" s="37" t="s">
        <v>254</v>
      </c>
      <c r="H18" s="38" t="s">
        <v>275</v>
      </c>
      <c r="I18" s="38">
        <v>6114</v>
      </c>
      <c r="J18" s="37" t="s">
        <v>285</v>
      </c>
      <c r="K18" s="38" t="s">
        <v>237</v>
      </c>
      <c r="L18" s="38"/>
      <c r="M18" s="39">
        <v>54.76</v>
      </c>
      <c r="N18" s="27">
        <f t="shared" si="0"/>
        <v>0</v>
      </c>
    </row>
    <row r="19" spans="1:14" x14ac:dyDescent="0.25">
      <c r="A19" s="36">
        <v>30</v>
      </c>
      <c r="B19" s="38" t="s">
        <v>287</v>
      </c>
      <c r="C19" s="37" t="s">
        <v>250</v>
      </c>
      <c r="D19" s="37" t="s">
        <v>279</v>
      </c>
      <c r="E19" s="37" t="s">
        <v>273</v>
      </c>
      <c r="F19" s="37" t="s">
        <v>284</v>
      </c>
      <c r="G19" s="37" t="s">
        <v>254</v>
      </c>
      <c r="H19" s="38" t="s">
        <v>275</v>
      </c>
      <c r="I19" s="38">
        <v>6114</v>
      </c>
      <c r="J19" s="37" t="s">
        <v>285</v>
      </c>
      <c r="K19" s="38" t="s">
        <v>237</v>
      </c>
      <c r="L19" s="38"/>
      <c r="M19" s="39">
        <v>66.569999999999993</v>
      </c>
      <c r="N19" s="27">
        <f t="shared" si="0"/>
        <v>0</v>
      </c>
    </row>
    <row r="20" spans="1:14" x14ac:dyDescent="0.25">
      <c r="A20" s="36">
        <v>32</v>
      </c>
      <c r="B20" s="38" t="s">
        <v>288</v>
      </c>
      <c r="C20" s="37" t="s">
        <v>250</v>
      </c>
      <c r="D20" s="37" t="s">
        <v>281</v>
      </c>
      <c r="E20" s="37" t="s">
        <v>282</v>
      </c>
      <c r="F20" s="37" t="s">
        <v>284</v>
      </c>
      <c r="G20" s="37" t="s">
        <v>254</v>
      </c>
      <c r="H20" s="38" t="s">
        <v>275</v>
      </c>
      <c r="I20" s="38">
        <v>6114</v>
      </c>
      <c r="J20" s="37" t="s">
        <v>285</v>
      </c>
      <c r="K20" s="38" t="s">
        <v>237</v>
      </c>
      <c r="L20" s="38"/>
      <c r="M20" s="39">
        <v>7.43</v>
      </c>
      <c r="N20" s="27">
        <f t="shared" si="0"/>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58D0-9F93-457B-A9EB-712281898E00}">
  <dimension ref="A1"/>
  <sheetViews>
    <sheetView workbookViewId="0">
      <selection activeCell="N19" sqref="N19"/>
    </sheetView>
  </sheetViews>
  <sheetFormatPr defaultRowHeight="15" x14ac:dyDescent="0.25"/>
  <sheetData/>
  <sheetProtection algorithmName="SHA-512" hashValue="PgKZ0bqFF4u6G5Y2Iz4JbJRiPFSrkTYwpzxcOUcLSWXxYR/yuq6udi8CALytvR9KIhqjdTDvf9N6vZx3AAkTfg==" saltValue="zWm3o2IzIUR1tc0Biq2/4A=="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6"/>
  <sheetViews>
    <sheetView workbookViewId="0"/>
  </sheetViews>
  <sheetFormatPr defaultRowHeight="15" x14ac:dyDescent="0.25"/>
  <cols>
    <col min="1" max="1" width="22.140625" customWidth="1"/>
    <col min="2" max="2" width="62.5703125" bestFit="1" customWidth="1"/>
    <col min="3" max="8" width="16.5703125" hidden="1" customWidth="1"/>
    <col min="9" max="9" width="16.5703125" bestFit="1" customWidth="1"/>
    <col min="10" max="10" width="16.5703125" hidden="1" customWidth="1"/>
    <col min="11" max="14" width="5.85546875" hidden="1" customWidth="1"/>
    <col min="15" max="15" width="17.7109375" hidden="1" customWidth="1"/>
    <col min="16" max="16" width="14" customWidth="1"/>
    <col min="17" max="17" width="20.42578125" customWidth="1"/>
    <col min="18" max="18" width="9.42578125" customWidth="1"/>
    <col min="19" max="19" width="12.85546875" customWidth="1"/>
    <col min="20" max="20" width="14.85546875" customWidth="1"/>
  </cols>
  <sheetData>
    <row r="1" spans="1:20" x14ac:dyDescent="0.25">
      <c r="B1" t="s">
        <v>208</v>
      </c>
      <c r="Q1">
        <v>5</v>
      </c>
    </row>
    <row r="2" spans="1:20" x14ac:dyDescent="0.25">
      <c r="B2" t="s">
        <v>207</v>
      </c>
      <c r="P2">
        <v>20</v>
      </c>
      <c r="S2" s="23" t="s">
        <v>211</v>
      </c>
    </row>
    <row r="3" spans="1:20" ht="44.1" customHeight="1" x14ac:dyDescent="0.25">
      <c r="A3" s="1"/>
      <c r="B3" s="6" t="s">
        <v>0</v>
      </c>
      <c r="C3" s="2" t="s">
        <v>1</v>
      </c>
      <c r="D3" s="2" t="s">
        <v>2</v>
      </c>
      <c r="E3" s="2" t="s">
        <v>3</v>
      </c>
      <c r="F3" s="2" t="s">
        <v>4</v>
      </c>
      <c r="G3" s="2" t="s">
        <v>5</v>
      </c>
      <c r="H3" s="2" t="s">
        <v>6</v>
      </c>
      <c r="I3" s="21" t="s">
        <v>197</v>
      </c>
      <c r="J3" s="21" t="s">
        <v>7</v>
      </c>
      <c r="K3" s="21" t="s">
        <v>8</v>
      </c>
      <c r="L3" s="21" t="s">
        <v>9</v>
      </c>
      <c r="M3" s="21" t="s">
        <v>10</v>
      </c>
      <c r="N3" s="21" t="s">
        <v>11</v>
      </c>
      <c r="O3" s="21" t="s">
        <v>12</v>
      </c>
      <c r="P3" s="22" t="s">
        <v>195</v>
      </c>
      <c r="Q3" s="19" t="s">
        <v>196</v>
      </c>
      <c r="R3" s="19" t="s">
        <v>206</v>
      </c>
      <c r="S3" s="19" t="s">
        <v>209</v>
      </c>
      <c r="T3" s="19" t="s">
        <v>210</v>
      </c>
    </row>
    <row r="4" spans="1:20" ht="20.100000000000001" customHeight="1" x14ac:dyDescent="0.25">
      <c r="A4" s="1"/>
      <c r="B4" s="7" t="s">
        <v>15</v>
      </c>
      <c r="C4" s="3">
        <v>753</v>
      </c>
      <c r="D4" s="3">
        <v>662</v>
      </c>
      <c r="E4" s="3">
        <v>658</v>
      </c>
      <c r="F4" s="3">
        <v>917</v>
      </c>
      <c r="G4" s="3">
        <v>584</v>
      </c>
      <c r="H4" s="3">
        <v>920</v>
      </c>
      <c r="I4" s="10">
        <v>999</v>
      </c>
      <c r="J4" s="10">
        <v>571</v>
      </c>
      <c r="K4" s="10"/>
      <c r="L4" s="10"/>
      <c r="M4" s="10"/>
      <c r="N4" s="10"/>
      <c r="O4" s="10">
        <v>6064</v>
      </c>
      <c r="P4" s="11">
        <f t="shared" ref="P4:P35" si="0">+I4/+$P$2</f>
        <v>49.95</v>
      </c>
      <c r="Q4" s="12">
        <f t="shared" ref="Q4:Q35" si="1">+P4*$Q$1</f>
        <v>249.75</v>
      </c>
      <c r="R4" s="12" t="s">
        <v>201</v>
      </c>
      <c r="S4" s="12"/>
      <c r="T4" s="12">
        <f>+Tabel2[[#This Row],[stk 5 dagar buffara]]*Tabel2[[#This Row],[inkøbspris pr stk]]</f>
        <v>0</v>
      </c>
    </row>
    <row r="5" spans="1:20" ht="20.100000000000001" customHeight="1" x14ac:dyDescent="0.25">
      <c r="A5" s="1"/>
      <c r="B5" s="7" t="s">
        <v>43</v>
      </c>
      <c r="C5" s="3">
        <v>3</v>
      </c>
      <c r="D5" s="3">
        <v>3</v>
      </c>
      <c r="E5" s="3">
        <v>25</v>
      </c>
      <c r="F5" s="3">
        <v>13</v>
      </c>
      <c r="G5" s="3">
        <v>19</v>
      </c>
      <c r="H5" s="3">
        <v>17</v>
      </c>
      <c r="I5" s="13">
        <v>43</v>
      </c>
      <c r="J5" s="13">
        <v>31</v>
      </c>
      <c r="K5" s="13"/>
      <c r="L5" s="13"/>
      <c r="M5" s="13"/>
      <c r="N5" s="13"/>
      <c r="O5" s="13">
        <v>154</v>
      </c>
      <c r="P5" s="14">
        <f t="shared" si="0"/>
        <v>2.15</v>
      </c>
      <c r="Q5" s="15">
        <f t="shared" si="1"/>
        <v>10.75</v>
      </c>
      <c r="R5" s="15" t="s">
        <v>201</v>
      </c>
      <c r="S5" s="15"/>
      <c r="T5" s="15">
        <f>+Tabel2[[#This Row],[stk 5 dagar buffara]]*Tabel2[[#This Row],[inkøbspris pr stk]]</f>
        <v>0</v>
      </c>
    </row>
    <row r="6" spans="1:20" ht="20.100000000000001" customHeight="1" x14ac:dyDescent="0.25">
      <c r="A6" s="1"/>
      <c r="B6" s="7" t="s">
        <v>44</v>
      </c>
      <c r="C6" s="3">
        <v>271</v>
      </c>
      <c r="D6" s="3">
        <v>277</v>
      </c>
      <c r="E6" s="3">
        <v>340</v>
      </c>
      <c r="F6" s="3">
        <v>644</v>
      </c>
      <c r="G6" s="3">
        <v>514</v>
      </c>
      <c r="H6" s="3">
        <v>759</v>
      </c>
      <c r="I6" s="13">
        <v>1029</v>
      </c>
      <c r="J6" s="13">
        <v>632</v>
      </c>
      <c r="K6" s="13"/>
      <c r="L6" s="13"/>
      <c r="M6" s="13"/>
      <c r="N6" s="13"/>
      <c r="O6" s="13">
        <v>4466</v>
      </c>
      <c r="P6" s="14">
        <f t="shared" si="0"/>
        <v>51.45</v>
      </c>
      <c r="Q6" s="15">
        <f t="shared" si="1"/>
        <v>257.25</v>
      </c>
      <c r="R6" s="15" t="s">
        <v>201</v>
      </c>
      <c r="S6" s="15"/>
      <c r="T6" s="15">
        <f>+Tabel2[[#This Row],[stk 5 dagar buffara]]*Tabel2[[#This Row],[inkøbspris pr stk]]</f>
        <v>0</v>
      </c>
    </row>
    <row r="7" spans="1:20" ht="20.100000000000001" customHeight="1" x14ac:dyDescent="0.25">
      <c r="A7" s="1"/>
      <c r="B7" s="7" t="s">
        <v>14</v>
      </c>
      <c r="C7" s="3">
        <v>4292</v>
      </c>
      <c r="D7" s="3">
        <v>4494</v>
      </c>
      <c r="E7" s="3">
        <v>5674</v>
      </c>
      <c r="F7" s="3">
        <v>7157</v>
      </c>
      <c r="G7" s="3">
        <v>8656</v>
      </c>
      <c r="H7" s="3">
        <v>10394</v>
      </c>
      <c r="I7" s="10">
        <v>13754</v>
      </c>
      <c r="J7" s="10">
        <v>8087</v>
      </c>
      <c r="K7" s="10"/>
      <c r="L7" s="10"/>
      <c r="M7" s="10"/>
      <c r="N7" s="10"/>
      <c r="O7" s="10">
        <v>62508</v>
      </c>
      <c r="P7" s="11">
        <f t="shared" si="0"/>
        <v>687.7</v>
      </c>
      <c r="Q7" s="12">
        <f t="shared" si="1"/>
        <v>3438.5</v>
      </c>
      <c r="R7" s="12" t="s">
        <v>200</v>
      </c>
      <c r="S7" s="12"/>
      <c r="T7" s="12">
        <f>+Tabel2[[#This Row],[stk 5 dagar buffara]]*Tabel2[[#This Row],[inkøbspris pr stk]]</f>
        <v>0</v>
      </c>
    </row>
    <row r="8" spans="1:20" ht="20.100000000000001" customHeight="1" x14ac:dyDescent="0.25">
      <c r="A8" s="1"/>
      <c r="B8" s="7" t="s">
        <v>18</v>
      </c>
      <c r="C8" s="3">
        <v>1250</v>
      </c>
      <c r="D8" s="3">
        <v>1407</v>
      </c>
      <c r="E8" s="3">
        <v>1712</v>
      </c>
      <c r="F8" s="3">
        <v>2480</v>
      </c>
      <c r="G8" s="3">
        <v>2105</v>
      </c>
      <c r="H8" s="3">
        <v>2709</v>
      </c>
      <c r="I8" s="10">
        <v>3154</v>
      </c>
      <c r="J8" s="10">
        <v>2034</v>
      </c>
      <c r="K8" s="10"/>
      <c r="L8" s="10"/>
      <c r="M8" s="10"/>
      <c r="N8" s="10"/>
      <c r="O8" s="10">
        <v>16851</v>
      </c>
      <c r="P8" s="11">
        <f t="shared" si="0"/>
        <v>157.69999999999999</v>
      </c>
      <c r="Q8" s="12">
        <f t="shared" si="1"/>
        <v>788.5</v>
      </c>
      <c r="R8" s="12" t="s">
        <v>200</v>
      </c>
      <c r="S8" s="12"/>
      <c r="T8" s="12">
        <f>+Tabel2[[#This Row],[stk 5 dagar buffara]]*Tabel2[[#This Row],[inkøbspris pr stk]]</f>
        <v>0</v>
      </c>
    </row>
    <row r="9" spans="1:20" ht="20.100000000000001" customHeight="1" x14ac:dyDescent="0.25">
      <c r="A9" s="1"/>
      <c r="B9" s="7" t="s">
        <v>20</v>
      </c>
      <c r="C9" s="3">
        <v>1953</v>
      </c>
      <c r="D9" s="3">
        <v>2308</v>
      </c>
      <c r="E9" s="3">
        <v>3233</v>
      </c>
      <c r="F9" s="3">
        <v>5001</v>
      </c>
      <c r="G9" s="3">
        <v>6496</v>
      </c>
      <c r="H9" s="3">
        <v>7177</v>
      </c>
      <c r="I9" s="10">
        <v>9254</v>
      </c>
      <c r="J9" s="10">
        <v>5513</v>
      </c>
      <c r="K9" s="10"/>
      <c r="L9" s="10"/>
      <c r="M9" s="10"/>
      <c r="N9" s="10"/>
      <c r="O9" s="10">
        <v>40935</v>
      </c>
      <c r="P9" s="11">
        <f t="shared" si="0"/>
        <v>462.7</v>
      </c>
      <c r="Q9" s="12">
        <f t="shared" si="1"/>
        <v>2313.5</v>
      </c>
      <c r="R9" s="12" t="s">
        <v>200</v>
      </c>
      <c r="S9" s="12"/>
      <c r="T9" s="12">
        <f>+Tabel2[[#This Row],[stk 5 dagar buffara]]*Tabel2[[#This Row],[inkøbspris pr stk]]</f>
        <v>0</v>
      </c>
    </row>
    <row r="10" spans="1:20" ht="20.100000000000001" customHeight="1" x14ac:dyDescent="0.25">
      <c r="A10" s="1"/>
      <c r="B10" s="7" t="s">
        <v>21</v>
      </c>
      <c r="C10" s="3">
        <v>2183</v>
      </c>
      <c r="D10" s="3">
        <v>2838</v>
      </c>
      <c r="E10" s="3">
        <v>4056</v>
      </c>
      <c r="F10" s="3">
        <v>5478</v>
      </c>
      <c r="G10" s="3">
        <v>7157</v>
      </c>
      <c r="H10" s="3">
        <v>8022</v>
      </c>
      <c r="I10" s="10">
        <v>9578</v>
      </c>
      <c r="J10" s="10">
        <v>6226</v>
      </c>
      <c r="K10" s="10"/>
      <c r="L10" s="10"/>
      <c r="M10" s="10"/>
      <c r="N10" s="10"/>
      <c r="O10" s="10">
        <v>45538</v>
      </c>
      <c r="P10" s="11">
        <f t="shared" si="0"/>
        <v>478.9</v>
      </c>
      <c r="Q10" s="12">
        <f t="shared" si="1"/>
        <v>2394.5</v>
      </c>
      <c r="R10" s="12" t="s">
        <v>200</v>
      </c>
      <c r="S10" s="12"/>
      <c r="T10" s="12">
        <f>+Tabel2[[#This Row],[stk 5 dagar buffara]]*Tabel2[[#This Row],[inkøbspris pr stk]]</f>
        <v>0</v>
      </c>
    </row>
    <row r="11" spans="1:20" ht="20.100000000000001" customHeight="1" x14ac:dyDescent="0.25">
      <c r="A11" s="1"/>
      <c r="B11" s="7" t="s">
        <v>22</v>
      </c>
      <c r="C11" s="3">
        <v>2537</v>
      </c>
      <c r="D11" s="3">
        <v>2659</v>
      </c>
      <c r="E11" s="3">
        <v>3481</v>
      </c>
      <c r="F11" s="3">
        <v>3842</v>
      </c>
      <c r="G11" s="3">
        <v>5732</v>
      </c>
      <c r="H11" s="3">
        <v>7043</v>
      </c>
      <c r="I11" s="10">
        <v>9269</v>
      </c>
      <c r="J11" s="10">
        <v>5260</v>
      </c>
      <c r="K11" s="10"/>
      <c r="L11" s="10"/>
      <c r="M11" s="10"/>
      <c r="N11" s="10"/>
      <c r="O11" s="10">
        <v>39823</v>
      </c>
      <c r="P11" s="11">
        <f t="shared" si="0"/>
        <v>463.45</v>
      </c>
      <c r="Q11" s="12">
        <f t="shared" si="1"/>
        <v>2317.25</v>
      </c>
      <c r="R11" s="12" t="s">
        <v>200</v>
      </c>
      <c r="S11" s="12"/>
      <c r="T11" s="12">
        <f>+Tabel2[[#This Row],[stk 5 dagar buffara]]*Tabel2[[#This Row],[inkøbspris pr stk]]</f>
        <v>0</v>
      </c>
    </row>
    <row r="12" spans="1:20" ht="20.100000000000001" customHeight="1" x14ac:dyDescent="0.25">
      <c r="A12" s="1"/>
      <c r="B12" s="7" t="s">
        <v>24</v>
      </c>
      <c r="C12" s="3"/>
      <c r="D12" s="3"/>
      <c r="E12" s="3">
        <v>4</v>
      </c>
      <c r="F12" s="3">
        <v>4</v>
      </c>
      <c r="G12" s="3">
        <v>5</v>
      </c>
      <c r="H12" s="3">
        <v>3</v>
      </c>
      <c r="I12" s="10">
        <v>7</v>
      </c>
      <c r="J12" s="10">
        <v>6</v>
      </c>
      <c r="K12" s="10"/>
      <c r="L12" s="10"/>
      <c r="M12" s="10"/>
      <c r="N12" s="10"/>
      <c r="O12" s="10">
        <v>29</v>
      </c>
      <c r="P12" s="11">
        <f t="shared" si="0"/>
        <v>0.35</v>
      </c>
      <c r="Q12" s="12">
        <f t="shared" si="1"/>
        <v>1.75</v>
      </c>
      <c r="R12" s="12" t="s">
        <v>200</v>
      </c>
      <c r="S12" s="12"/>
      <c r="T12" s="12">
        <f>+Tabel2[[#This Row],[stk 5 dagar buffara]]*Tabel2[[#This Row],[inkøbspris pr stk]]</f>
        <v>0</v>
      </c>
    </row>
    <row r="13" spans="1:20" ht="20.100000000000001" customHeight="1" x14ac:dyDescent="0.25">
      <c r="A13" s="1"/>
      <c r="B13" s="7" t="s">
        <v>28</v>
      </c>
      <c r="C13" s="3">
        <v>22</v>
      </c>
      <c r="D13" s="3">
        <v>49</v>
      </c>
      <c r="E13" s="3">
        <v>71</v>
      </c>
      <c r="F13" s="3">
        <v>109</v>
      </c>
      <c r="G13" s="3">
        <v>183</v>
      </c>
      <c r="H13" s="3">
        <v>255</v>
      </c>
      <c r="I13" s="10">
        <v>347</v>
      </c>
      <c r="J13" s="10">
        <v>202</v>
      </c>
      <c r="K13" s="10"/>
      <c r="L13" s="10"/>
      <c r="M13" s="10"/>
      <c r="N13" s="10"/>
      <c r="O13" s="10">
        <v>1238</v>
      </c>
      <c r="P13" s="11">
        <f t="shared" si="0"/>
        <v>17.350000000000001</v>
      </c>
      <c r="Q13" s="12">
        <f t="shared" si="1"/>
        <v>86.75</v>
      </c>
      <c r="R13" s="12" t="s">
        <v>200</v>
      </c>
      <c r="S13" s="12"/>
      <c r="T13" s="12">
        <f>+Tabel2[[#This Row],[stk 5 dagar buffara]]*Tabel2[[#This Row],[inkøbspris pr stk]]</f>
        <v>0</v>
      </c>
    </row>
    <row r="14" spans="1:20" ht="20.100000000000001" customHeight="1" x14ac:dyDescent="0.25">
      <c r="A14" s="1"/>
      <c r="B14" s="7" t="s">
        <v>29</v>
      </c>
      <c r="C14" s="3">
        <v>2441</v>
      </c>
      <c r="D14" s="3">
        <v>2843</v>
      </c>
      <c r="E14" s="3">
        <v>3835</v>
      </c>
      <c r="F14" s="3">
        <v>5704</v>
      </c>
      <c r="G14" s="3">
        <v>6080</v>
      </c>
      <c r="H14" s="3">
        <v>7308</v>
      </c>
      <c r="I14" s="10">
        <v>8016</v>
      </c>
      <c r="J14" s="10">
        <v>5560</v>
      </c>
      <c r="K14" s="10"/>
      <c r="L14" s="10"/>
      <c r="M14" s="10"/>
      <c r="N14" s="10"/>
      <c r="O14" s="10">
        <v>41787</v>
      </c>
      <c r="P14" s="11">
        <f t="shared" si="0"/>
        <v>400.8</v>
      </c>
      <c r="Q14" s="12">
        <f t="shared" si="1"/>
        <v>2004</v>
      </c>
      <c r="R14" s="12" t="s">
        <v>200</v>
      </c>
      <c r="S14" s="12"/>
      <c r="T14" s="12">
        <f>+Tabel2[[#This Row],[stk 5 dagar buffara]]*Tabel2[[#This Row],[inkøbspris pr stk]]</f>
        <v>0</v>
      </c>
    </row>
    <row r="15" spans="1:20" ht="20.100000000000001" customHeight="1" x14ac:dyDescent="0.25">
      <c r="A15" s="1"/>
      <c r="B15" s="7" t="s">
        <v>30</v>
      </c>
      <c r="C15" s="3">
        <v>9144</v>
      </c>
      <c r="D15" s="3">
        <v>10823</v>
      </c>
      <c r="E15" s="3">
        <v>11265</v>
      </c>
      <c r="F15" s="3">
        <v>12707</v>
      </c>
      <c r="G15" s="3">
        <v>12743</v>
      </c>
      <c r="H15" s="3">
        <v>21193</v>
      </c>
      <c r="I15" s="10">
        <v>19633</v>
      </c>
      <c r="J15" s="10">
        <v>12202</v>
      </c>
      <c r="K15" s="10"/>
      <c r="L15" s="10"/>
      <c r="M15" s="10"/>
      <c r="N15" s="10"/>
      <c r="O15" s="10">
        <v>109710</v>
      </c>
      <c r="P15" s="11">
        <f t="shared" si="0"/>
        <v>981.65</v>
      </c>
      <c r="Q15" s="12">
        <f t="shared" si="1"/>
        <v>4908.25</v>
      </c>
      <c r="R15" s="12" t="s">
        <v>200</v>
      </c>
      <c r="S15" s="12"/>
      <c r="T15" s="12">
        <f>+Tabel2[[#This Row],[stk 5 dagar buffara]]*Tabel2[[#This Row],[inkøbspris pr stk]]</f>
        <v>0</v>
      </c>
    </row>
    <row r="16" spans="1:20" ht="20.100000000000001" customHeight="1" x14ac:dyDescent="0.25">
      <c r="A16" s="1"/>
      <c r="B16" s="7" t="s">
        <v>31</v>
      </c>
      <c r="C16" s="3">
        <v>253</v>
      </c>
      <c r="D16" s="3">
        <v>234</v>
      </c>
      <c r="E16" s="3">
        <v>239</v>
      </c>
      <c r="F16" s="3">
        <v>204</v>
      </c>
      <c r="G16" s="3">
        <v>269</v>
      </c>
      <c r="H16" s="3">
        <v>267</v>
      </c>
      <c r="I16" s="10">
        <v>267</v>
      </c>
      <c r="J16" s="10">
        <v>130</v>
      </c>
      <c r="K16" s="10"/>
      <c r="L16" s="10"/>
      <c r="M16" s="10"/>
      <c r="N16" s="10"/>
      <c r="O16" s="10">
        <v>1863</v>
      </c>
      <c r="P16" s="11">
        <f t="shared" si="0"/>
        <v>13.35</v>
      </c>
      <c r="Q16" s="12">
        <f t="shared" si="1"/>
        <v>66.75</v>
      </c>
      <c r="R16" s="12" t="s">
        <v>200</v>
      </c>
      <c r="S16" s="12"/>
      <c r="T16" s="12">
        <f>+Tabel2[[#This Row],[stk 5 dagar buffara]]*Tabel2[[#This Row],[inkøbspris pr stk]]</f>
        <v>0</v>
      </c>
    </row>
    <row r="17" spans="1:20" ht="20.100000000000001" customHeight="1" x14ac:dyDescent="0.25">
      <c r="A17" s="1"/>
      <c r="B17" s="7" t="s">
        <v>32</v>
      </c>
      <c r="C17" s="3">
        <v>3936</v>
      </c>
      <c r="D17" s="3">
        <v>4686</v>
      </c>
      <c r="E17" s="3">
        <v>7141</v>
      </c>
      <c r="F17" s="3">
        <v>7867</v>
      </c>
      <c r="G17" s="3">
        <v>8054</v>
      </c>
      <c r="H17" s="3">
        <v>10432</v>
      </c>
      <c r="I17" s="10">
        <v>12330</v>
      </c>
      <c r="J17" s="10">
        <v>9016</v>
      </c>
      <c r="K17" s="10"/>
      <c r="L17" s="10"/>
      <c r="M17" s="10"/>
      <c r="N17" s="10"/>
      <c r="O17" s="10">
        <v>63462</v>
      </c>
      <c r="P17" s="11">
        <f t="shared" si="0"/>
        <v>616.5</v>
      </c>
      <c r="Q17" s="12">
        <f t="shared" si="1"/>
        <v>3082.5</v>
      </c>
      <c r="R17" s="12" t="s">
        <v>200</v>
      </c>
      <c r="S17" s="12"/>
      <c r="T17" s="12">
        <f>+Tabel2[[#This Row],[stk 5 dagar buffara]]*Tabel2[[#This Row],[inkøbspris pr stk]]</f>
        <v>0</v>
      </c>
    </row>
    <row r="18" spans="1:20" ht="20.100000000000001" customHeight="1" x14ac:dyDescent="0.25">
      <c r="A18" s="1"/>
      <c r="B18" s="7" t="s">
        <v>33</v>
      </c>
      <c r="C18" s="3">
        <v>11</v>
      </c>
      <c r="D18" s="3">
        <v>1</v>
      </c>
      <c r="E18" s="3">
        <v>7</v>
      </c>
      <c r="F18" s="3">
        <v>20</v>
      </c>
      <c r="G18" s="3">
        <v>33</v>
      </c>
      <c r="H18" s="3">
        <v>11</v>
      </c>
      <c r="I18" s="10">
        <v>20</v>
      </c>
      <c r="J18" s="10">
        <v>28</v>
      </c>
      <c r="K18" s="10"/>
      <c r="L18" s="10"/>
      <c r="M18" s="10"/>
      <c r="N18" s="10"/>
      <c r="O18" s="10">
        <v>131</v>
      </c>
      <c r="P18" s="11">
        <f t="shared" si="0"/>
        <v>1</v>
      </c>
      <c r="Q18" s="12">
        <f t="shared" si="1"/>
        <v>5</v>
      </c>
      <c r="R18" s="12" t="s">
        <v>200</v>
      </c>
      <c r="S18" s="12"/>
      <c r="T18" s="12">
        <f>+Tabel2[[#This Row],[stk 5 dagar buffara]]*Tabel2[[#This Row],[inkøbspris pr stk]]</f>
        <v>0</v>
      </c>
    </row>
    <row r="19" spans="1:20" ht="20.100000000000001" customHeight="1" x14ac:dyDescent="0.25">
      <c r="A19" s="1"/>
      <c r="B19" s="7" t="s">
        <v>34</v>
      </c>
      <c r="C19" s="3">
        <v>1330</v>
      </c>
      <c r="D19" s="3">
        <v>1447</v>
      </c>
      <c r="E19" s="3">
        <v>1844</v>
      </c>
      <c r="F19" s="3">
        <v>2163</v>
      </c>
      <c r="G19" s="3">
        <v>3093</v>
      </c>
      <c r="H19" s="3">
        <v>3426</v>
      </c>
      <c r="I19" s="10">
        <v>3616</v>
      </c>
      <c r="J19" s="10">
        <v>2313</v>
      </c>
      <c r="K19" s="10"/>
      <c r="L19" s="10"/>
      <c r="M19" s="10"/>
      <c r="N19" s="10"/>
      <c r="O19" s="10">
        <v>19232</v>
      </c>
      <c r="P19" s="11">
        <f t="shared" si="0"/>
        <v>180.8</v>
      </c>
      <c r="Q19" s="12">
        <f t="shared" si="1"/>
        <v>904</v>
      </c>
      <c r="R19" s="12" t="s">
        <v>200</v>
      </c>
      <c r="S19" s="12"/>
      <c r="T19" s="12">
        <f>+Tabel2[[#This Row],[stk 5 dagar buffara]]*Tabel2[[#This Row],[inkøbspris pr stk]]</f>
        <v>0</v>
      </c>
    </row>
    <row r="20" spans="1:20" ht="20.100000000000001" customHeight="1" x14ac:dyDescent="0.25">
      <c r="A20" s="1"/>
      <c r="B20" s="7" t="s">
        <v>35</v>
      </c>
      <c r="C20" s="3">
        <v>10056</v>
      </c>
      <c r="D20" s="3">
        <v>9543</v>
      </c>
      <c r="E20" s="3">
        <v>12203</v>
      </c>
      <c r="F20" s="3">
        <v>15955</v>
      </c>
      <c r="G20" s="3">
        <v>16247</v>
      </c>
      <c r="H20" s="3">
        <v>20344</v>
      </c>
      <c r="I20" s="10">
        <v>24190</v>
      </c>
      <c r="J20" s="10">
        <v>14795</v>
      </c>
      <c r="K20" s="10"/>
      <c r="L20" s="10"/>
      <c r="M20" s="10"/>
      <c r="N20" s="10"/>
      <c r="O20" s="10">
        <v>123333</v>
      </c>
      <c r="P20" s="11">
        <f t="shared" si="0"/>
        <v>1209.5</v>
      </c>
      <c r="Q20" s="12">
        <f t="shared" si="1"/>
        <v>6047.5</v>
      </c>
      <c r="R20" s="12" t="s">
        <v>204</v>
      </c>
      <c r="S20" s="12"/>
      <c r="T20" s="12">
        <f>+Tabel2[[#This Row],[stk 5 dagar buffara]]*Tabel2[[#This Row],[inkøbspris pr stk]]</f>
        <v>0</v>
      </c>
    </row>
    <row r="21" spans="1:20" ht="20.100000000000001" customHeight="1" x14ac:dyDescent="0.25">
      <c r="A21" s="1"/>
      <c r="B21" s="7" t="s">
        <v>36</v>
      </c>
      <c r="C21" s="3">
        <v>684</v>
      </c>
      <c r="D21" s="3">
        <v>412</v>
      </c>
      <c r="E21" s="3">
        <v>575</v>
      </c>
      <c r="F21" s="3">
        <v>589</v>
      </c>
      <c r="G21" s="3">
        <v>764</v>
      </c>
      <c r="H21" s="3">
        <v>702</v>
      </c>
      <c r="I21" s="10">
        <v>871</v>
      </c>
      <c r="J21" s="10">
        <v>428</v>
      </c>
      <c r="K21" s="10"/>
      <c r="L21" s="10"/>
      <c r="M21" s="10"/>
      <c r="N21" s="10"/>
      <c r="O21" s="10">
        <v>5025</v>
      </c>
      <c r="P21" s="11">
        <f t="shared" si="0"/>
        <v>43.55</v>
      </c>
      <c r="Q21" s="12">
        <f t="shared" si="1"/>
        <v>217.75</v>
      </c>
      <c r="R21" s="12" t="s">
        <v>204</v>
      </c>
      <c r="S21" s="12"/>
      <c r="T21" s="12">
        <f>+Tabel2[[#This Row],[stk 5 dagar buffara]]*Tabel2[[#This Row],[inkøbspris pr stk]]</f>
        <v>0</v>
      </c>
    </row>
    <row r="22" spans="1:20" ht="20.100000000000001" customHeight="1" x14ac:dyDescent="0.25">
      <c r="A22" s="1"/>
      <c r="B22" s="7" t="s">
        <v>37</v>
      </c>
      <c r="C22" s="3">
        <v>289</v>
      </c>
      <c r="D22" s="3">
        <v>203</v>
      </c>
      <c r="E22" s="3">
        <v>289</v>
      </c>
      <c r="F22" s="3">
        <v>281</v>
      </c>
      <c r="G22" s="3">
        <v>425</v>
      </c>
      <c r="H22" s="3">
        <v>418</v>
      </c>
      <c r="I22" s="10">
        <v>334</v>
      </c>
      <c r="J22" s="10">
        <v>225</v>
      </c>
      <c r="K22" s="10"/>
      <c r="L22" s="10"/>
      <c r="M22" s="10"/>
      <c r="N22" s="10"/>
      <c r="O22" s="10">
        <v>2464</v>
      </c>
      <c r="P22" s="11">
        <f t="shared" si="0"/>
        <v>16.7</v>
      </c>
      <c r="Q22" s="12">
        <f t="shared" si="1"/>
        <v>83.5</v>
      </c>
      <c r="R22" s="12" t="s">
        <v>204</v>
      </c>
      <c r="S22" s="12"/>
      <c r="T22" s="12">
        <f>+Tabel2[[#This Row],[stk 5 dagar buffara]]*Tabel2[[#This Row],[inkøbspris pr stk]]</f>
        <v>0</v>
      </c>
    </row>
    <row r="23" spans="1:20" ht="20.100000000000001" hidden="1" customHeight="1" x14ac:dyDescent="0.25">
      <c r="A23" s="1"/>
      <c r="B23" s="7" t="s">
        <v>38</v>
      </c>
      <c r="C23" s="3">
        <v>1</v>
      </c>
      <c r="D23" s="3">
        <v>2</v>
      </c>
      <c r="E23" s="3">
        <v>2</v>
      </c>
      <c r="F23" s="3">
        <v>7</v>
      </c>
      <c r="G23" s="3">
        <v>1</v>
      </c>
      <c r="H23" s="3">
        <v>5</v>
      </c>
      <c r="I23" s="13"/>
      <c r="J23" s="13">
        <v>1</v>
      </c>
      <c r="K23" s="13"/>
      <c r="L23" s="13"/>
      <c r="M23" s="13"/>
      <c r="N23" s="13"/>
      <c r="O23" s="13">
        <v>19</v>
      </c>
      <c r="P23" s="14">
        <f t="shared" si="0"/>
        <v>0</v>
      </c>
      <c r="Q23" s="15">
        <f t="shared" si="1"/>
        <v>0</v>
      </c>
      <c r="R23" s="15" t="s">
        <v>204</v>
      </c>
      <c r="S23" s="15"/>
      <c r="T23" s="15">
        <f>+Tabel2[[#This Row],[stk 5 dagar buffara]]*Tabel2[[#This Row],[inkøbspris pr stk]]</f>
        <v>0</v>
      </c>
    </row>
    <row r="24" spans="1:20" ht="20.100000000000001" customHeight="1" x14ac:dyDescent="0.25">
      <c r="A24" s="1"/>
      <c r="B24" s="7" t="s">
        <v>39</v>
      </c>
      <c r="C24" s="3">
        <v>81</v>
      </c>
      <c r="D24" s="3">
        <v>463</v>
      </c>
      <c r="E24" s="3">
        <v>49</v>
      </c>
      <c r="F24" s="3">
        <v>45</v>
      </c>
      <c r="G24" s="3">
        <v>31</v>
      </c>
      <c r="H24" s="3">
        <v>69</v>
      </c>
      <c r="I24" s="13">
        <v>119</v>
      </c>
      <c r="J24" s="13">
        <v>77</v>
      </c>
      <c r="K24" s="13"/>
      <c r="L24" s="13"/>
      <c r="M24" s="13"/>
      <c r="N24" s="13"/>
      <c r="O24" s="13">
        <v>934</v>
      </c>
      <c r="P24" s="14">
        <f t="shared" si="0"/>
        <v>5.95</v>
      </c>
      <c r="Q24" s="15">
        <f t="shared" si="1"/>
        <v>29.75</v>
      </c>
      <c r="R24" s="15" t="s">
        <v>204</v>
      </c>
      <c r="S24" s="15"/>
      <c r="T24" s="15">
        <f>+Tabel2[[#This Row],[stk 5 dagar buffara]]*Tabel2[[#This Row],[inkøbspris pr stk]]</f>
        <v>0</v>
      </c>
    </row>
    <row r="25" spans="1:20" ht="20.100000000000001" customHeight="1" x14ac:dyDescent="0.25">
      <c r="A25" s="1"/>
      <c r="B25" s="7" t="s">
        <v>40</v>
      </c>
      <c r="C25" s="3">
        <v>1644</v>
      </c>
      <c r="D25" s="3">
        <v>2271</v>
      </c>
      <c r="E25" s="3">
        <v>2363</v>
      </c>
      <c r="F25" s="3">
        <v>2880</v>
      </c>
      <c r="G25" s="3">
        <v>2588</v>
      </c>
      <c r="H25" s="3">
        <v>3320</v>
      </c>
      <c r="I25" s="13">
        <v>3100</v>
      </c>
      <c r="J25" s="13">
        <v>1981</v>
      </c>
      <c r="K25" s="13"/>
      <c r="L25" s="13"/>
      <c r="M25" s="13"/>
      <c r="N25" s="13"/>
      <c r="O25" s="13">
        <v>20147</v>
      </c>
      <c r="P25" s="14">
        <f t="shared" si="0"/>
        <v>155</v>
      </c>
      <c r="Q25" s="15">
        <f t="shared" si="1"/>
        <v>775</v>
      </c>
      <c r="R25" s="15" t="s">
        <v>204</v>
      </c>
      <c r="S25" s="15"/>
      <c r="T25" s="15">
        <f>+Tabel2[[#This Row],[stk 5 dagar buffara]]*Tabel2[[#This Row],[inkøbspris pr stk]]</f>
        <v>0</v>
      </c>
    </row>
    <row r="26" spans="1:20" ht="20.100000000000001" customHeight="1" x14ac:dyDescent="0.25">
      <c r="A26" s="1"/>
      <c r="B26" s="7" t="s">
        <v>42</v>
      </c>
      <c r="C26" s="3">
        <v>1094</v>
      </c>
      <c r="D26" s="3">
        <v>779</v>
      </c>
      <c r="E26" s="3">
        <v>819</v>
      </c>
      <c r="F26" s="3">
        <v>1428</v>
      </c>
      <c r="G26" s="3">
        <v>1148</v>
      </c>
      <c r="H26" s="3">
        <v>1666</v>
      </c>
      <c r="I26" s="13">
        <v>2154</v>
      </c>
      <c r="J26" s="13">
        <v>1118</v>
      </c>
      <c r="K26" s="13"/>
      <c r="L26" s="13"/>
      <c r="M26" s="13"/>
      <c r="N26" s="13"/>
      <c r="O26" s="13">
        <v>10206</v>
      </c>
      <c r="P26" s="14">
        <f t="shared" si="0"/>
        <v>107.7</v>
      </c>
      <c r="Q26" s="15">
        <f t="shared" si="1"/>
        <v>538.5</v>
      </c>
      <c r="R26" s="15" t="s">
        <v>204</v>
      </c>
      <c r="S26" s="15"/>
      <c r="T26" s="15">
        <f>+Tabel2[[#This Row],[stk 5 dagar buffara]]*Tabel2[[#This Row],[inkøbspris pr stk]]</f>
        <v>0</v>
      </c>
    </row>
    <row r="27" spans="1:20" ht="20.100000000000001" customHeight="1" x14ac:dyDescent="0.25">
      <c r="A27" s="1"/>
      <c r="B27" s="7" t="s">
        <v>45</v>
      </c>
      <c r="C27" s="3">
        <v>3514</v>
      </c>
      <c r="D27" s="3">
        <v>3498</v>
      </c>
      <c r="E27" s="3">
        <v>4246</v>
      </c>
      <c r="F27" s="3">
        <v>6084</v>
      </c>
      <c r="G27" s="3">
        <v>7448</v>
      </c>
      <c r="H27" s="3">
        <v>8758</v>
      </c>
      <c r="I27" s="13">
        <v>10654</v>
      </c>
      <c r="J27" s="13">
        <v>7197</v>
      </c>
      <c r="K27" s="13"/>
      <c r="L27" s="13"/>
      <c r="M27" s="13"/>
      <c r="N27" s="13"/>
      <c r="O27" s="13">
        <v>51399</v>
      </c>
      <c r="P27" s="14">
        <f t="shared" si="0"/>
        <v>532.70000000000005</v>
      </c>
      <c r="Q27" s="15">
        <f t="shared" si="1"/>
        <v>2663.5</v>
      </c>
      <c r="R27" s="15" t="s">
        <v>204</v>
      </c>
      <c r="S27" s="15"/>
      <c r="T27" s="15">
        <f>+Tabel2[[#This Row],[stk 5 dagar buffara]]*Tabel2[[#This Row],[inkøbspris pr stk]]</f>
        <v>0</v>
      </c>
    </row>
    <row r="28" spans="1:20" ht="20.100000000000001" customHeight="1" x14ac:dyDescent="0.25">
      <c r="A28" s="1"/>
      <c r="B28" s="7" t="s">
        <v>46</v>
      </c>
      <c r="C28" s="3">
        <v>4509</v>
      </c>
      <c r="D28" s="3">
        <v>4299</v>
      </c>
      <c r="E28" s="3">
        <v>5433</v>
      </c>
      <c r="F28" s="3">
        <v>7138</v>
      </c>
      <c r="G28" s="3">
        <v>7930</v>
      </c>
      <c r="H28" s="3">
        <v>9925</v>
      </c>
      <c r="I28" s="13">
        <v>11941</v>
      </c>
      <c r="J28" s="13">
        <v>7857</v>
      </c>
      <c r="K28" s="13"/>
      <c r="L28" s="13"/>
      <c r="M28" s="13"/>
      <c r="N28" s="13"/>
      <c r="O28" s="13">
        <v>59032</v>
      </c>
      <c r="P28" s="14">
        <f t="shared" si="0"/>
        <v>597.04999999999995</v>
      </c>
      <c r="Q28" s="15">
        <f t="shared" si="1"/>
        <v>2985.25</v>
      </c>
      <c r="R28" s="15" t="s">
        <v>204</v>
      </c>
      <c r="S28" s="15"/>
      <c r="T28" s="15">
        <f>+Tabel2[[#This Row],[stk 5 dagar buffara]]*Tabel2[[#This Row],[inkøbspris pr stk]]</f>
        <v>0</v>
      </c>
    </row>
    <row r="29" spans="1:20" ht="20.100000000000001" hidden="1" customHeight="1" x14ac:dyDescent="0.25">
      <c r="A29" s="1"/>
      <c r="B29" s="7" t="s">
        <v>49</v>
      </c>
      <c r="C29" s="3"/>
      <c r="D29" s="3"/>
      <c r="E29" s="3"/>
      <c r="F29" s="3"/>
      <c r="G29" s="3">
        <v>3</v>
      </c>
      <c r="H29" s="3"/>
      <c r="I29" s="13"/>
      <c r="J29" s="13">
        <v>1</v>
      </c>
      <c r="K29" s="13"/>
      <c r="L29" s="13"/>
      <c r="M29" s="13"/>
      <c r="N29" s="13"/>
      <c r="O29" s="13">
        <v>4</v>
      </c>
      <c r="P29" s="14">
        <f t="shared" si="0"/>
        <v>0</v>
      </c>
      <c r="Q29" s="15">
        <f t="shared" si="1"/>
        <v>0</v>
      </c>
      <c r="R29" s="15" t="s">
        <v>204</v>
      </c>
      <c r="S29" s="15"/>
      <c r="T29" s="15">
        <f>+Tabel2[[#This Row],[stk 5 dagar buffara]]*Tabel2[[#This Row],[inkøbspris pr stk]]</f>
        <v>0</v>
      </c>
    </row>
    <row r="30" spans="1:20" ht="20.100000000000001" customHeight="1" x14ac:dyDescent="0.25">
      <c r="A30" s="1"/>
      <c r="B30" s="7" t="s">
        <v>50</v>
      </c>
      <c r="C30" s="3"/>
      <c r="D30" s="3"/>
      <c r="E30" s="3">
        <v>3</v>
      </c>
      <c r="F30" s="3">
        <v>1</v>
      </c>
      <c r="G30" s="3">
        <v>2</v>
      </c>
      <c r="H30" s="3">
        <v>6</v>
      </c>
      <c r="I30" s="13">
        <v>1</v>
      </c>
      <c r="J30" s="13">
        <v>3</v>
      </c>
      <c r="K30" s="13"/>
      <c r="L30" s="13"/>
      <c r="M30" s="13"/>
      <c r="N30" s="13"/>
      <c r="O30" s="13">
        <v>16</v>
      </c>
      <c r="P30" s="14">
        <f t="shared" si="0"/>
        <v>0.05</v>
      </c>
      <c r="Q30" s="15">
        <f t="shared" si="1"/>
        <v>0.25</v>
      </c>
      <c r="R30" s="15" t="s">
        <v>204</v>
      </c>
      <c r="S30" s="15"/>
      <c r="T30" s="15">
        <f>+Tabel2[[#This Row],[stk 5 dagar buffara]]*Tabel2[[#This Row],[inkøbspris pr stk]]</f>
        <v>0</v>
      </c>
    </row>
    <row r="31" spans="1:20" ht="20.100000000000001" hidden="1" customHeight="1" x14ac:dyDescent="0.25">
      <c r="A31" s="1"/>
      <c r="B31" s="7" t="s">
        <v>51</v>
      </c>
      <c r="C31" s="3"/>
      <c r="D31" s="3">
        <v>1</v>
      </c>
      <c r="E31" s="3"/>
      <c r="F31" s="3"/>
      <c r="G31" s="3"/>
      <c r="H31" s="3"/>
      <c r="I31" s="13"/>
      <c r="J31" s="13"/>
      <c r="K31" s="13"/>
      <c r="L31" s="13"/>
      <c r="M31" s="13"/>
      <c r="N31" s="13"/>
      <c r="O31" s="13">
        <v>1</v>
      </c>
      <c r="P31" s="14">
        <f t="shared" si="0"/>
        <v>0</v>
      </c>
      <c r="Q31" s="15">
        <f t="shared" si="1"/>
        <v>0</v>
      </c>
      <c r="R31" s="15" t="s">
        <v>204</v>
      </c>
      <c r="S31" s="15"/>
      <c r="T31" s="15">
        <f>+Tabel2[[#This Row],[stk 5 dagar buffara]]*Tabel2[[#This Row],[inkøbspris pr stk]]</f>
        <v>0</v>
      </c>
    </row>
    <row r="32" spans="1:20" ht="20.100000000000001" customHeight="1" x14ac:dyDescent="0.25">
      <c r="A32" s="1"/>
      <c r="B32" s="7" t="s">
        <v>52</v>
      </c>
      <c r="C32" s="3"/>
      <c r="D32" s="3">
        <v>5</v>
      </c>
      <c r="E32" s="3"/>
      <c r="F32" s="3">
        <v>3</v>
      </c>
      <c r="G32" s="3"/>
      <c r="H32" s="3">
        <v>1</v>
      </c>
      <c r="I32" s="13">
        <v>7</v>
      </c>
      <c r="J32" s="13">
        <v>6</v>
      </c>
      <c r="K32" s="13"/>
      <c r="L32" s="13"/>
      <c r="M32" s="13"/>
      <c r="N32" s="13"/>
      <c r="O32" s="13">
        <v>22</v>
      </c>
      <c r="P32" s="14">
        <f t="shared" si="0"/>
        <v>0.35</v>
      </c>
      <c r="Q32" s="15">
        <f t="shared" si="1"/>
        <v>1.75</v>
      </c>
      <c r="R32" s="15" t="s">
        <v>204</v>
      </c>
      <c r="S32" s="15"/>
      <c r="T32" s="15">
        <f>+Tabel2[[#This Row],[stk 5 dagar buffara]]*Tabel2[[#This Row],[inkøbspris pr stk]]</f>
        <v>0</v>
      </c>
    </row>
    <row r="33" spans="1:20" ht="20.100000000000001" customHeight="1" x14ac:dyDescent="0.25">
      <c r="A33" s="1"/>
      <c r="B33" s="7" t="s">
        <v>53</v>
      </c>
      <c r="C33" s="3">
        <v>19</v>
      </c>
      <c r="D33" s="3">
        <v>16</v>
      </c>
      <c r="E33" s="3">
        <v>21</v>
      </c>
      <c r="F33" s="3">
        <v>12</v>
      </c>
      <c r="G33" s="3">
        <v>12</v>
      </c>
      <c r="H33" s="3">
        <v>11</v>
      </c>
      <c r="I33" s="13">
        <v>20</v>
      </c>
      <c r="J33" s="13">
        <v>20</v>
      </c>
      <c r="K33" s="13"/>
      <c r="L33" s="13"/>
      <c r="M33" s="13"/>
      <c r="N33" s="13"/>
      <c r="O33" s="13">
        <v>131</v>
      </c>
      <c r="P33" s="14">
        <f t="shared" si="0"/>
        <v>1</v>
      </c>
      <c r="Q33" s="15">
        <f t="shared" si="1"/>
        <v>5</v>
      </c>
      <c r="R33" s="15" t="s">
        <v>204</v>
      </c>
      <c r="S33" s="15"/>
      <c r="T33" s="15">
        <f>+Tabel2[[#This Row],[stk 5 dagar buffara]]*Tabel2[[#This Row],[inkøbspris pr stk]]</f>
        <v>0</v>
      </c>
    </row>
    <row r="34" spans="1:20" ht="20.100000000000001" customHeight="1" x14ac:dyDescent="0.25">
      <c r="A34" s="1"/>
      <c r="B34" s="7" t="s">
        <v>54</v>
      </c>
      <c r="C34" s="3">
        <v>50</v>
      </c>
      <c r="D34" s="3">
        <v>42</v>
      </c>
      <c r="E34" s="3">
        <v>7</v>
      </c>
      <c r="F34" s="3">
        <v>7</v>
      </c>
      <c r="G34" s="3">
        <v>6</v>
      </c>
      <c r="H34" s="3">
        <v>4</v>
      </c>
      <c r="I34" s="13">
        <v>17</v>
      </c>
      <c r="J34" s="13">
        <v>11</v>
      </c>
      <c r="K34" s="13"/>
      <c r="L34" s="13"/>
      <c r="M34" s="13"/>
      <c r="N34" s="13"/>
      <c r="O34" s="13">
        <v>144</v>
      </c>
      <c r="P34" s="14">
        <f t="shared" si="0"/>
        <v>0.85</v>
      </c>
      <c r="Q34" s="15">
        <f t="shared" si="1"/>
        <v>4.25</v>
      </c>
      <c r="R34" s="15" t="s">
        <v>204</v>
      </c>
      <c r="S34" s="15"/>
      <c r="T34" s="15">
        <f>+Tabel2[[#This Row],[stk 5 dagar buffara]]*Tabel2[[#This Row],[inkøbspris pr stk]]</f>
        <v>0</v>
      </c>
    </row>
    <row r="35" spans="1:20" ht="20.100000000000001" customHeight="1" x14ac:dyDescent="0.25">
      <c r="A35" s="1"/>
      <c r="B35" s="7" t="s">
        <v>55</v>
      </c>
      <c r="C35" s="3">
        <v>18</v>
      </c>
      <c r="D35" s="3">
        <v>8</v>
      </c>
      <c r="E35" s="3">
        <v>14</v>
      </c>
      <c r="F35" s="3">
        <v>12</v>
      </c>
      <c r="G35" s="3">
        <v>7</v>
      </c>
      <c r="H35" s="3">
        <v>3</v>
      </c>
      <c r="I35" s="13">
        <v>9</v>
      </c>
      <c r="J35" s="13">
        <v>9</v>
      </c>
      <c r="K35" s="13"/>
      <c r="L35" s="13"/>
      <c r="M35" s="13"/>
      <c r="N35" s="13"/>
      <c r="O35" s="13">
        <v>80</v>
      </c>
      <c r="P35" s="14">
        <f t="shared" si="0"/>
        <v>0.45</v>
      </c>
      <c r="Q35" s="15">
        <f t="shared" si="1"/>
        <v>2.25</v>
      </c>
      <c r="R35" s="15" t="s">
        <v>204</v>
      </c>
      <c r="S35" s="15"/>
      <c r="T35" s="15">
        <f>+Tabel2[[#This Row],[stk 5 dagar buffara]]*Tabel2[[#This Row],[inkøbspris pr stk]]</f>
        <v>0</v>
      </c>
    </row>
    <row r="36" spans="1:20" ht="20.100000000000001" customHeight="1" x14ac:dyDescent="0.25">
      <c r="A36" s="1"/>
      <c r="B36" s="7" t="s">
        <v>56</v>
      </c>
      <c r="C36" s="3">
        <v>7</v>
      </c>
      <c r="D36" s="3">
        <v>6</v>
      </c>
      <c r="E36" s="3">
        <v>7</v>
      </c>
      <c r="F36" s="3">
        <v>11</v>
      </c>
      <c r="G36" s="3">
        <v>2</v>
      </c>
      <c r="H36" s="3">
        <v>4</v>
      </c>
      <c r="I36" s="13">
        <v>2</v>
      </c>
      <c r="J36" s="13">
        <v>3</v>
      </c>
      <c r="K36" s="13"/>
      <c r="L36" s="13"/>
      <c r="M36" s="13"/>
      <c r="N36" s="13"/>
      <c r="O36" s="13">
        <v>42</v>
      </c>
      <c r="P36" s="14">
        <f t="shared" ref="P36:P67" si="2">+I36/+$P$2</f>
        <v>0.1</v>
      </c>
      <c r="Q36" s="15">
        <f t="shared" ref="Q36:Q67" si="3">+P36*$Q$1</f>
        <v>0.5</v>
      </c>
      <c r="R36" s="15" t="s">
        <v>204</v>
      </c>
      <c r="S36" s="15"/>
      <c r="T36" s="15">
        <f>+Tabel2[[#This Row],[stk 5 dagar buffara]]*Tabel2[[#This Row],[inkøbspris pr stk]]</f>
        <v>0</v>
      </c>
    </row>
    <row r="37" spans="1:20" ht="20.100000000000001" customHeight="1" x14ac:dyDescent="0.25">
      <c r="A37" s="1"/>
      <c r="B37" s="7" t="s">
        <v>57</v>
      </c>
      <c r="C37" s="3">
        <v>16</v>
      </c>
      <c r="D37" s="3">
        <v>8</v>
      </c>
      <c r="E37" s="3">
        <v>12</v>
      </c>
      <c r="F37" s="3">
        <v>10</v>
      </c>
      <c r="G37" s="3">
        <v>6</v>
      </c>
      <c r="H37" s="3">
        <v>4</v>
      </c>
      <c r="I37" s="13">
        <v>9</v>
      </c>
      <c r="J37" s="13">
        <v>10</v>
      </c>
      <c r="K37" s="13"/>
      <c r="L37" s="13"/>
      <c r="M37" s="13"/>
      <c r="N37" s="13"/>
      <c r="O37" s="13">
        <v>75</v>
      </c>
      <c r="P37" s="14">
        <f t="shared" si="2"/>
        <v>0.45</v>
      </c>
      <c r="Q37" s="15">
        <f t="shared" si="3"/>
        <v>2.25</v>
      </c>
      <c r="R37" s="15" t="s">
        <v>204</v>
      </c>
      <c r="S37" s="15"/>
      <c r="T37" s="15">
        <f>+Tabel2[[#This Row],[stk 5 dagar buffara]]*Tabel2[[#This Row],[inkøbspris pr stk]]</f>
        <v>0</v>
      </c>
    </row>
    <row r="38" spans="1:20" ht="20.100000000000001" customHeight="1" x14ac:dyDescent="0.25">
      <c r="A38" s="1"/>
      <c r="B38" s="7" t="s">
        <v>59</v>
      </c>
      <c r="C38" s="3">
        <v>461</v>
      </c>
      <c r="D38" s="3">
        <v>437</v>
      </c>
      <c r="E38" s="3">
        <v>580</v>
      </c>
      <c r="F38" s="3">
        <v>523</v>
      </c>
      <c r="G38" s="3">
        <v>656</v>
      </c>
      <c r="H38" s="3">
        <v>696</v>
      </c>
      <c r="I38" s="13">
        <v>671</v>
      </c>
      <c r="J38" s="13">
        <v>479</v>
      </c>
      <c r="K38" s="13"/>
      <c r="L38" s="13"/>
      <c r="M38" s="13"/>
      <c r="N38" s="13"/>
      <c r="O38" s="13">
        <v>4503</v>
      </c>
      <c r="P38" s="14">
        <f t="shared" si="2"/>
        <v>33.549999999999997</v>
      </c>
      <c r="Q38" s="15">
        <f t="shared" si="3"/>
        <v>167.75</v>
      </c>
      <c r="R38" s="15" t="s">
        <v>204</v>
      </c>
      <c r="S38" s="15"/>
      <c r="T38" s="15">
        <f>+Tabel2[[#This Row],[stk 5 dagar buffara]]*Tabel2[[#This Row],[inkøbspris pr stk]]</f>
        <v>0</v>
      </c>
    </row>
    <row r="39" spans="1:20" ht="20.100000000000001" customHeight="1" x14ac:dyDescent="0.25">
      <c r="A39" s="1"/>
      <c r="B39" s="7" t="s">
        <v>67</v>
      </c>
      <c r="C39" s="3">
        <v>31</v>
      </c>
      <c r="D39" s="3">
        <v>3</v>
      </c>
      <c r="E39" s="3">
        <v>17</v>
      </c>
      <c r="F39" s="3">
        <v>3</v>
      </c>
      <c r="G39" s="3"/>
      <c r="H39" s="3">
        <v>1</v>
      </c>
      <c r="I39" s="13">
        <v>3</v>
      </c>
      <c r="J39" s="13">
        <v>4</v>
      </c>
      <c r="K39" s="13"/>
      <c r="L39" s="13"/>
      <c r="M39" s="13"/>
      <c r="N39" s="13"/>
      <c r="O39" s="13">
        <v>62</v>
      </c>
      <c r="P39" s="14">
        <f t="shared" si="2"/>
        <v>0.15</v>
      </c>
      <c r="Q39" s="15">
        <f t="shared" si="3"/>
        <v>0.75</v>
      </c>
      <c r="R39" s="15" t="s">
        <v>204</v>
      </c>
      <c r="S39" s="15"/>
      <c r="T39" s="15">
        <f>+Tabel2[[#This Row],[stk 5 dagar buffara]]*Tabel2[[#This Row],[inkøbspris pr stk]]</f>
        <v>0</v>
      </c>
    </row>
    <row r="40" spans="1:20" ht="20.100000000000001" customHeight="1" x14ac:dyDescent="0.25">
      <c r="A40" s="1"/>
      <c r="B40" s="7" t="s">
        <v>68</v>
      </c>
      <c r="C40" s="3">
        <v>145</v>
      </c>
      <c r="D40" s="3">
        <v>300</v>
      </c>
      <c r="E40" s="3">
        <v>165</v>
      </c>
      <c r="F40" s="3">
        <v>175</v>
      </c>
      <c r="G40" s="3">
        <v>70</v>
      </c>
      <c r="H40" s="3">
        <v>65</v>
      </c>
      <c r="I40" s="13">
        <v>95</v>
      </c>
      <c r="J40" s="13">
        <v>145</v>
      </c>
      <c r="K40" s="13"/>
      <c r="L40" s="13"/>
      <c r="M40" s="13"/>
      <c r="N40" s="13"/>
      <c r="O40" s="13">
        <v>1160</v>
      </c>
      <c r="P40" s="14">
        <f t="shared" si="2"/>
        <v>4.75</v>
      </c>
      <c r="Q40" s="15">
        <f t="shared" si="3"/>
        <v>23.75</v>
      </c>
      <c r="R40" s="15" t="s">
        <v>204</v>
      </c>
      <c r="S40" s="15"/>
      <c r="T40" s="15">
        <f>+Tabel2[[#This Row],[stk 5 dagar buffara]]*Tabel2[[#This Row],[inkøbspris pr stk]]</f>
        <v>0</v>
      </c>
    </row>
    <row r="41" spans="1:20" ht="20.100000000000001" customHeight="1" x14ac:dyDescent="0.25">
      <c r="A41" s="1"/>
      <c r="B41" s="7" t="s">
        <v>94</v>
      </c>
      <c r="C41" s="3">
        <v>6</v>
      </c>
      <c r="D41" s="3">
        <v>8</v>
      </c>
      <c r="E41" s="3"/>
      <c r="F41" s="3">
        <v>5</v>
      </c>
      <c r="G41" s="3">
        <v>18</v>
      </c>
      <c r="H41" s="3"/>
      <c r="I41" s="13">
        <v>14</v>
      </c>
      <c r="J41" s="13">
        <v>23</v>
      </c>
      <c r="K41" s="13"/>
      <c r="L41" s="13"/>
      <c r="M41" s="13"/>
      <c r="N41" s="13"/>
      <c r="O41" s="13">
        <v>74</v>
      </c>
      <c r="P41" s="14">
        <f t="shared" si="2"/>
        <v>0.7</v>
      </c>
      <c r="Q41" s="15">
        <f t="shared" si="3"/>
        <v>3.5</v>
      </c>
      <c r="R41" s="15" t="s">
        <v>204</v>
      </c>
      <c r="S41" s="15"/>
      <c r="T41" s="15">
        <f>+Tabel2[[#This Row],[stk 5 dagar buffara]]*Tabel2[[#This Row],[inkøbspris pr stk]]</f>
        <v>0</v>
      </c>
    </row>
    <row r="42" spans="1:20" ht="20.100000000000001" customHeight="1" x14ac:dyDescent="0.25">
      <c r="A42" s="1"/>
      <c r="B42" s="7" t="s">
        <v>95</v>
      </c>
      <c r="C42" s="3">
        <v>89</v>
      </c>
      <c r="D42" s="3">
        <v>60</v>
      </c>
      <c r="E42" s="3">
        <v>130</v>
      </c>
      <c r="F42" s="3">
        <v>243</v>
      </c>
      <c r="G42" s="3">
        <v>222</v>
      </c>
      <c r="H42" s="3">
        <v>202</v>
      </c>
      <c r="I42" s="13">
        <v>206</v>
      </c>
      <c r="J42" s="13">
        <v>128</v>
      </c>
      <c r="K42" s="13"/>
      <c r="L42" s="13"/>
      <c r="M42" s="13"/>
      <c r="N42" s="13"/>
      <c r="O42" s="13">
        <v>1280</v>
      </c>
      <c r="P42" s="14">
        <f t="shared" si="2"/>
        <v>10.3</v>
      </c>
      <c r="Q42" s="15">
        <f t="shared" si="3"/>
        <v>51.5</v>
      </c>
      <c r="R42" s="15" t="s">
        <v>204</v>
      </c>
      <c r="S42" s="15"/>
      <c r="T42" s="15">
        <f>+Tabel2[[#This Row],[stk 5 dagar buffara]]*Tabel2[[#This Row],[inkøbspris pr stk]]</f>
        <v>0</v>
      </c>
    </row>
    <row r="43" spans="1:20" ht="20.100000000000001" customHeight="1" x14ac:dyDescent="0.25">
      <c r="A43" s="1"/>
      <c r="B43" s="7" t="s">
        <v>98</v>
      </c>
      <c r="C43" s="3">
        <v>52</v>
      </c>
      <c r="D43" s="3">
        <v>45</v>
      </c>
      <c r="E43" s="3">
        <v>99</v>
      </c>
      <c r="F43" s="3">
        <v>99</v>
      </c>
      <c r="G43" s="3">
        <v>98</v>
      </c>
      <c r="H43" s="3">
        <v>146</v>
      </c>
      <c r="I43" s="13">
        <v>85</v>
      </c>
      <c r="J43" s="13">
        <v>65</v>
      </c>
      <c r="K43" s="13"/>
      <c r="L43" s="13"/>
      <c r="M43" s="13"/>
      <c r="N43" s="13"/>
      <c r="O43" s="13">
        <v>689</v>
      </c>
      <c r="P43" s="14">
        <f t="shared" si="2"/>
        <v>4.25</v>
      </c>
      <c r="Q43" s="15">
        <f t="shared" si="3"/>
        <v>21.25</v>
      </c>
      <c r="R43" s="15" t="s">
        <v>204</v>
      </c>
      <c r="S43" s="15"/>
      <c r="T43" s="15">
        <f>+Tabel2[[#This Row],[stk 5 dagar buffara]]*Tabel2[[#This Row],[inkøbspris pr stk]]</f>
        <v>0</v>
      </c>
    </row>
    <row r="44" spans="1:20" ht="20.100000000000001" customHeight="1" x14ac:dyDescent="0.25">
      <c r="A44" s="1"/>
      <c r="B44" s="7" t="s">
        <v>99</v>
      </c>
      <c r="C44" s="3">
        <v>22</v>
      </c>
      <c r="D44" s="3">
        <v>11</v>
      </c>
      <c r="E44" s="3">
        <v>35</v>
      </c>
      <c r="F44" s="3">
        <v>56</v>
      </c>
      <c r="G44" s="3">
        <v>77</v>
      </c>
      <c r="H44" s="3">
        <v>35</v>
      </c>
      <c r="I44" s="13">
        <v>9</v>
      </c>
      <c r="J44" s="13">
        <v>20</v>
      </c>
      <c r="K44" s="13"/>
      <c r="L44" s="13"/>
      <c r="M44" s="13"/>
      <c r="N44" s="13"/>
      <c r="O44" s="13">
        <v>265</v>
      </c>
      <c r="P44" s="14">
        <f t="shared" si="2"/>
        <v>0.45</v>
      </c>
      <c r="Q44" s="15">
        <f t="shared" si="3"/>
        <v>2.25</v>
      </c>
      <c r="R44" s="15" t="s">
        <v>204</v>
      </c>
      <c r="S44" s="15"/>
      <c r="T44" s="15">
        <f>+Tabel2[[#This Row],[stk 5 dagar buffara]]*Tabel2[[#This Row],[inkøbspris pr stk]]</f>
        <v>0</v>
      </c>
    </row>
    <row r="45" spans="1:20" ht="20.100000000000001" customHeight="1" x14ac:dyDescent="0.25">
      <c r="A45" s="1"/>
      <c r="B45" s="7" t="s">
        <v>100</v>
      </c>
      <c r="C45" s="3">
        <v>1049</v>
      </c>
      <c r="D45" s="3">
        <v>535</v>
      </c>
      <c r="E45" s="3">
        <v>797</v>
      </c>
      <c r="F45" s="3">
        <v>2512</v>
      </c>
      <c r="G45" s="3">
        <v>2205</v>
      </c>
      <c r="H45" s="3">
        <v>3756</v>
      </c>
      <c r="I45" s="13">
        <v>3492</v>
      </c>
      <c r="J45" s="13">
        <v>1903</v>
      </c>
      <c r="K45" s="13"/>
      <c r="L45" s="13"/>
      <c r="M45" s="13"/>
      <c r="N45" s="13"/>
      <c r="O45" s="13">
        <v>16249</v>
      </c>
      <c r="P45" s="14">
        <f t="shared" si="2"/>
        <v>174.6</v>
      </c>
      <c r="Q45" s="15">
        <f t="shared" si="3"/>
        <v>873</v>
      </c>
      <c r="R45" s="15" t="s">
        <v>204</v>
      </c>
      <c r="S45" s="15"/>
      <c r="T45" s="15">
        <f>+Tabel2[[#This Row],[stk 5 dagar buffara]]*Tabel2[[#This Row],[inkøbspris pr stk]]</f>
        <v>0</v>
      </c>
    </row>
    <row r="46" spans="1:20" ht="20.100000000000001" customHeight="1" x14ac:dyDescent="0.25">
      <c r="A46" s="1"/>
      <c r="B46" s="7" t="s">
        <v>101</v>
      </c>
      <c r="C46" s="3">
        <v>231</v>
      </c>
      <c r="D46" s="3">
        <v>367</v>
      </c>
      <c r="E46" s="3">
        <v>405</v>
      </c>
      <c r="F46" s="3">
        <v>464</v>
      </c>
      <c r="G46" s="3">
        <v>610</v>
      </c>
      <c r="H46" s="3">
        <v>714</v>
      </c>
      <c r="I46" s="13">
        <v>621</v>
      </c>
      <c r="J46" s="13">
        <v>457</v>
      </c>
      <c r="K46" s="13"/>
      <c r="L46" s="13"/>
      <c r="M46" s="13"/>
      <c r="N46" s="13"/>
      <c r="O46" s="13">
        <v>3869</v>
      </c>
      <c r="P46" s="14">
        <f t="shared" si="2"/>
        <v>31.05</v>
      </c>
      <c r="Q46" s="15">
        <f t="shared" si="3"/>
        <v>155.25</v>
      </c>
      <c r="R46" s="15" t="s">
        <v>204</v>
      </c>
      <c r="S46" s="15"/>
      <c r="T46" s="15">
        <f>+Tabel2[[#This Row],[stk 5 dagar buffara]]*Tabel2[[#This Row],[inkøbspris pr stk]]</f>
        <v>0</v>
      </c>
    </row>
    <row r="47" spans="1:20" ht="20.100000000000001" customHeight="1" x14ac:dyDescent="0.25">
      <c r="A47" s="1"/>
      <c r="B47" s="7" t="s">
        <v>102</v>
      </c>
      <c r="C47" s="3">
        <v>458</v>
      </c>
      <c r="D47" s="3">
        <v>620</v>
      </c>
      <c r="E47" s="3">
        <v>721</v>
      </c>
      <c r="F47" s="3">
        <v>821</v>
      </c>
      <c r="G47" s="3">
        <v>1452</v>
      </c>
      <c r="H47" s="3">
        <v>881</v>
      </c>
      <c r="I47" s="13">
        <v>934</v>
      </c>
      <c r="J47" s="13">
        <v>436</v>
      </c>
      <c r="K47" s="13"/>
      <c r="L47" s="13"/>
      <c r="M47" s="13"/>
      <c r="N47" s="13"/>
      <c r="O47" s="13">
        <v>6323</v>
      </c>
      <c r="P47" s="14">
        <f t="shared" si="2"/>
        <v>46.7</v>
      </c>
      <c r="Q47" s="15">
        <f t="shared" si="3"/>
        <v>233.5</v>
      </c>
      <c r="R47" s="15" t="s">
        <v>204</v>
      </c>
      <c r="S47" s="15"/>
      <c r="T47" s="15">
        <f>+Tabel2[[#This Row],[stk 5 dagar buffara]]*Tabel2[[#This Row],[inkøbspris pr stk]]</f>
        <v>0</v>
      </c>
    </row>
    <row r="48" spans="1:20" ht="20.100000000000001" customHeight="1" x14ac:dyDescent="0.25">
      <c r="A48" s="1"/>
      <c r="B48" s="7" t="s">
        <v>103</v>
      </c>
      <c r="C48" s="3">
        <v>586</v>
      </c>
      <c r="D48" s="3">
        <v>663</v>
      </c>
      <c r="E48" s="3">
        <v>1205</v>
      </c>
      <c r="F48" s="3">
        <v>918</v>
      </c>
      <c r="G48" s="3">
        <v>1878</v>
      </c>
      <c r="H48" s="3">
        <v>804</v>
      </c>
      <c r="I48" s="13">
        <v>465</v>
      </c>
      <c r="J48" s="13">
        <v>318</v>
      </c>
      <c r="K48" s="13"/>
      <c r="L48" s="13"/>
      <c r="M48" s="13"/>
      <c r="N48" s="13"/>
      <c r="O48" s="13">
        <v>6837</v>
      </c>
      <c r="P48" s="14">
        <f t="shared" si="2"/>
        <v>23.25</v>
      </c>
      <c r="Q48" s="15">
        <f t="shared" si="3"/>
        <v>116.25</v>
      </c>
      <c r="R48" s="15" t="s">
        <v>204</v>
      </c>
      <c r="S48" s="15"/>
      <c r="T48" s="15">
        <f>+Tabel2[[#This Row],[stk 5 dagar buffara]]*Tabel2[[#This Row],[inkøbspris pr stk]]</f>
        <v>0</v>
      </c>
    </row>
    <row r="49" spans="1:20" ht="20.100000000000001" customHeight="1" x14ac:dyDescent="0.25">
      <c r="A49" s="1"/>
      <c r="B49" s="7" t="s">
        <v>194</v>
      </c>
      <c r="C49" s="3"/>
      <c r="D49" s="3"/>
      <c r="E49" s="3"/>
      <c r="F49" s="3"/>
      <c r="G49" s="3">
        <v>155</v>
      </c>
      <c r="H49" s="3">
        <v>303</v>
      </c>
      <c r="I49" s="13">
        <v>484</v>
      </c>
      <c r="J49" s="13">
        <v>162</v>
      </c>
      <c r="K49" s="13"/>
      <c r="L49" s="13"/>
      <c r="M49" s="13"/>
      <c r="N49" s="13"/>
      <c r="O49" s="13">
        <v>1104</v>
      </c>
      <c r="P49" s="14">
        <f t="shared" si="2"/>
        <v>24.2</v>
      </c>
      <c r="Q49" s="15">
        <f t="shared" si="3"/>
        <v>121</v>
      </c>
      <c r="R49" s="15" t="s">
        <v>204</v>
      </c>
      <c r="S49" s="15"/>
      <c r="T49" s="15">
        <f>+Tabel2[[#This Row],[stk 5 dagar buffara]]*Tabel2[[#This Row],[inkøbspris pr stk]]</f>
        <v>0</v>
      </c>
    </row>
    <row r="50" spans="1:20" ht="20.100000000000001" hidden="1" customHeight="1" x14ac:dyDescent="0.25">
      <c r="A50" s="1"/>
      <c r="B50" s="7" t="s">
        <v>80</v>
      </c>
      <c r="C50" s="3"/>
      <c r="D50" s="3"/>
      <c r="E50" s="3">
        <v>15</v>
      </c>
      <c r="F50" s="3"/>
      <c r="G50" s="3"/>
      <c r="H50" s="3"/>
      <c r="I50" s="13"/>
      <c r="J50" s="13">
        <v>5</v>
      </c>
      <c r="K50" s="13"/>
      <c r="L50" s="13"/>
      <c r="M50" s="13"/>
      <c r="N50" s="13"/>
      <c r="O50" s="13">
        <v>20</v>
      </c>
      <c r="P50" s="14">
        <f t="shared" si="2"/>
        <v>0</v>
      </c>
      <c r="Q50" s="15">
        <f t="shared" si="3"/>
        <v>0</v>
      </c>
      <c r="R50" s="15" t="s">
        <v>205</v>
      </c>
      <c r="S50" s="15"/>
      <c r="T50" s="15">
        <f>+Tabel2[[#This Row],[stk 5 dagar buffara]]*Tabel2[[#This Row],[inkøbspris pr stk]]</f>
        <v>0</v>
      </c>
    </row>
    <row r="51" spans="1:20" ht="20.100000000000001" customHeight="1" x14ac:dyDescent="0.25">
      <c r="A51" s="1"/>
      <c r="B51" s="7" t="s">
        <v>82</v>
      </c>
      <c r="C51" s="3">
        <v>1680</v>
      </c>
      <c r="D51" s="3">
        <v>1723</v>
      </c>
      <c r="E51" s="3">
        <v>1655</v>
      </c>
      <c r="F51" s="3">
        <v>1530</v>
      </c>
      <c r="G51" s="3">
        <v>1656</v>
      </c>
      <c r="H51" s="3">
        <v>1693</v>
      </c>
      <c r="I51" s="13">
        <v>1542</v>
      </c>
      <c r="J51" s="13">
        <v>1219</v>
      </c>
      <c r="K51" s="13"/>
      <c r="L51" s="13"/>
      <c r="M51" s="13"/>
      <c r="N51" s="13"/>
      <c r="O51" s="13">
        <v>12698</v>
      </c>
      <c r="P51" s="14">
        <f t="shared" si="2"/>
        <v>77.099999999999994</v>
      </c>
      <c r="Q51" s="15">
        <f t="shared" si="3"/>
        <v>385.5</v>
      </c>
      <c r="R51" s="15" t="s">
        <v>205</v>
      </c>
      <c r="S51" s="15"/>
      <c r="T51" s="15">
        <f>+Tabel2[[#This Row],[stk 5 dagar buffara]]*Tabel2[[#This Row],[inkøbspris pr stk]]</f>
        <v>0</v>
      </c>
    </row>
    <row r="52" spans="1:20" ht="20.100000000000001" customHeight="1" x14ac:dyDescent="0.25">
      <c r="A52" s="1"/>
      <c r="B52" s="7" t="s">
        <v>104</v>
      </c>
      <c r="C52" s="3">
        <v>3263</v>
      </c>
      <c r="D52" s="3">
        <v>3075</v>
      </c>
      <c r="E52" s="3">
        <v>3069</v>
      </c>
      <c r="F52" s="3">
        <v>2643</v>
      </c>
      <c r="G52" s="3">
        <v>3135</v>
      </c>
      <c r="H52" s="3">
        <v>3075</v>
      </c>
      <c r="I52" s="13">
        <v>2972</v>
      </c>
      <c r="J52" s="13">
        <v>2248</v>
      </c>
      <c r="K52" s="13"/>
      <c r="L52" s="13"/>
      <c r="M52" s="13"/>
      <c r="N52" s="13"/>
      <c r="O52" s="13">
        <v>23480</v>
      </c>
      <c r="P52" s="14">
        <f t="shared" si="2"/>
        <v>148.6</v>
      </c>
      <c r="Q52" s="15">
        <f t="shared" si="3"/>
        <v>743</v>
      </c>
      <c r="R52" s="15" t="s">
        <v>205</v>
      </c>
      <c r="S52" s="15"/>
      <c r="T52" s="15">
        <f>+Tabel2[[#This Row],[stk 5 dagar buffara]]*Tabel2[[#This Row],[inkøbspris pr stk]]</f>
        <v>0</v>
      </c>
    </row>
    <row r="53" spans="1:20" ht="20.100000000000001" customHeight="1" x14ac:dyDescent="0.25">
      <c r="A53" s="1"/>
      <c r="B53" s="7" t="s">
        <v>105</v>
      </c>
      <c r="C53" s="3">
        <v>2146</v>
      </c>
      <c r="D53" s="3">
        <v>1828</v>
      </c>
      <c r="E53" s="3">
        <v>1701</v>
      </c>
      <c r="F53" s="3">
        <v>1562</v>
      </c>
      <c r="G53" s="3">
        <v>1994</v>
      </c>
      <c r="H53" s="3">
        <v>1858</v>
      </c>
      <c r="I53" s="13">
        <v>1743</v>
      </c>
      <c r="J53" s="13">
        <v>1256</v>
      </c>
      <c r="K53" s="13"/>
      <c r="L53" s="13"/>
      <c r="M53" s="13"/>
      <c r="N53" s="13"/>
      <c r="O53" s="13">
        <v>14088</v>
      </c>
      <c r="P53" s="14">
        <f t="shared" si="2"/>
        <v>87.15</v>
      </c>
      <c r="Q53" s="15">
        <f t="shared" si="3"/>
        <v>435.75</v>
      </c>
      <c r="R53" s="15" t="s">
        <v>205</v>
      </c>
      <c r="S53" s="15"/>
      <c r="T53" s="15">
        <f>+Tabel2[[#This Row],[stk 5 dagar buffara]]*Tabel2[[#This Row],[inkøbspris pr stk]]</f>
        <v>0</v>
      </c>
    </row>
    <row r="54" spans="1:20" ht="20.100000000000001" customHeight="1" x14ac:dyDescent="0.25">
      <c r="A54" s="1"/>
      <c r="B54" s="7" t="s">
        <v>106</v>
      </c>
      <c r="C54" s="3">
        <v>442</v>
      </c>
      <c r="D54" s="3">
        <v>591</v>
      </c>
      <c r="E54" s="3">
        <v>425</v>
      </c>
      <c r="F54" s="3">
        <v>283</v>
      </c>
      <c r="G54" s="3">
        <v>421</v>
      </c>
      <c r="H54" s="3">
        <v>380</v>
      </c>
      <c r="I54" s="13">
        <v>375</v>
      </c>
      <c r="J54" s="13">
        <v>185</v>
      </c>
      <c r="K54" s="13"/>
      <c r="L54" s="13"/>
      <c r="M54" s="13"/>
      <c r="N54" s="13"/>
      <c r="O54" s="13">
        <v>3102</v>
      </c>
      <c r="P54" s="14">
        <f t="shared" si="2"/>
        <v>18.75</v>
      </c>
      <c r="Q54" s="15">
        <f t="shared" si="3"/>
        <v>93.75</v>
      </c>
      <c r="R54" s="15" t="s">
        <v>205</v>
      </c>
      <c r="S54" s="15"/>
      <c r="T54" s="15">
        <f>+Tabel2[[#This Row],[stk 5 dagar buffara]]*Tabel2[[#This Row],[inkøbspris pr stk]]</f>
        <v>0</v>
      </c>
    </row>
    <row r="55" spans="1:20" ht="20.100000000000001" customHeight="1" x14ac:dyDescent="0.25">
      <c r="A55" s="1"/>
      <c r="B55" s="7" t="s">
        <v>107</v>
      </c>
      <c r="C55" s="3">
        <v>62</v>
      </c>
      <c r="D55" s="3">
        <v>139</v>
      </c>
      <c r="E55" s="3">
        <v>113</v>
      </c>
      <c r="F55" s="3">
        <v>77</v>
      </c>
      <c r="G55" s="3">
        <v>174</v>
      </c>
      <c r="H55" s="3">
        <v>166</v>
      </c>
      <c r="I55" s="13">
        <v>271</v>
      </c>
      <c r="J55" s="13">
        <v>22</v>
      </c>
      <c r="K55" s="13"/>
      <c r="L55" s="13"/>
      <c r="M55" s="13"/>
      <c r="N55" s="13"/>
      <c r="O55" s="13">
        <v>1024</v>
      </c>
      <c r="P55" s="14">
        <f t="shared" si="2"/>
        <v>13.55</v>
      </c>
      <c r="Q55" s="15">
        <f t="shared" si="3"/>
        <v>67.75</v>
      </c>
      <c r="R55" s="15" t="s">
        <v>205</v>
      </c>
      <c r="S55" s="15"/>
      <c r="T55" s="15">
        <f>+Tabel2[[#This Row],[stk 5 dagar buffara]]*Tabel2[[#This Row],[inkøbspris pr stk]]</f>
        <v>0</v>
      </c>
    </row>
    <row r="56" spans="1:20" ht="20.100000000000001" customHeight="1" x14ac:dyDescent="0.25">
      <c r="A56" s="1"/>
      <c r="B56" s="7" t="s">
        <v>108</v>
      </c>
      <c r="C56" s="3">
        <v>1783</v>
      </c>
      <c r="D56" s="3">
        <v>1571</v>
      </c>
      <c r="E56" s="3">
        <v>1511</v>
      </c>
      <c r="F56" s="3">
        <v>1501</v>
      </c>
      <c r="G56" s="3">
        <v>1726</v>
      </c>
      <c r="H56" s="3">
        <v>1530</v>
      </c>
      <c r="I56" s="13">
        <v>2060</v>
      </c>
      <c r="J56" s="13">
        <v>1320</v>
      </c>
      <c r="K56" s="13"/>
      <c r="L56" s="13"/>
      <c r="M56" s="13"/>
      <c r="N56" s="13"/>
      <c r="O56" s="13">
        <v>13002</v>
      </c>
      <c r="P56" s="14">
        <f t="shared" si="2"/>
        <v>103</v>
      </c>
      <c r="Q56" s="15">
        <f t="shared" si="3"/>
        <v>515</v>
      </c>
      <c r="R56" s="15" t="s">
        <v>205</v>
      </c>
      <c r="S56" s="15"/>
      <c r="T56" s="15">
        <f>+Tabel2[[#This Row],[stk 5 dagar buffara]]*Tabel2[[#This Row],[inkøbspris pr stk]]</f>
        <v>0</v>
      </c>
    </row>
    <row r="57" spans="1:20" ht="20.100000000000001" customHeight="1" x14ac:dyDescent="0.25">
      <c r="A57" s="1"/>
      <c r="B57" s="7" t="s">
        <v>109</v>
      </c>
      <c r="C57" s="3">
        <v>408</v>
      </c>
      <c r="D57" s="3">
        <v>450</v>
      </c>
      <c r="E57" s="3">
        <v>429</v>
      </c>
      <c r="F57" s="3">
        <v>316</v>
      </c>
      <c r="G57" s="3">
        <v>513</v>
      </c>
      <c r="H57" s="3">
        <v>341</v>
      </c>
      <c r="I57" s="13">
        <v>215</v>
      </c>
      <c r="J57" s="13">
        <v>180</v>
      </c>
      <c r="K57" s="13"/>
      <c r="L57" s="13"/>
      <c r="M57" s="13"/>
      <c r="N57" s="13"/>
      <c r="O57" s="13">
        <v>2852</v>
      </c>
      <c r="P57" s="14">
        <f t="shared" si="2"/>
        <v>10.75</v>
      </c>
      <c r="Q57" s="15">
        <f t="shared" si="3"/>
        <v>53.75</v>
      </c>
      <c r="R57" s="15" t="s">
        <v>205</v>
      </c>
      <c r="S57" s="15"/>
      <c r="T57" s="15">
        <f>+Tabel2[[#This Row],[stk 5 dagar buffara]]*Tabel2[[#This Row],[inkøbspris pr stk]]</f>
        <v>0</v>
      </c>
    </row>
    <row r="58" spans="1:20" ht="20.100000000000001" customHeight="1" x14ac:dyDescent="0.25">
      <c r="A58" s="1"/>
      <c r="B58" s="7" t="s">
        <v>110</v>
      </c>
      <c r="C58" s="3">
        <v>640</v>
      </c>
      <c r="D58" s="3">
        <v>559</v>
      </c>
      <c r="E58" s="3">
        <v>667</v>
      </c>
      <c r="F58" s="3">
        <v>465</v>
      </c>
      <c r="G58" s="3">
        <v>822</v>
      </c>
      <c r="H58" s="3">
        <v>648</v>
      </c>
      <c r="I58" s="13">
        <v>490</v>
      </c>
      <c r="J58" s="13">
        <v>326</v>
      </c>
      <c r="K58" s="13"/>
      <c r="L58" s="13"/>
      <c r="M58" s="13"/>
      <c r="N58" s="13"/>
      <c r="O58" s="13">
        <v>4617</v>
      </c>
      <c r="P58" s="14">
        <f t="shared" si="2"/>
        <v>24.5</v>
      </c>
      <c r="Q58" s="15">
        <f t="shared" si="3"/>
        <v>122.5</v>
      </c>
      <c r="R58" s="15" t="s">
        <v>205</v>
      </c>
      <c r="S58" s="15"/>
      <c r="T58" s="15">
        <f>+Tabel2[[#This Row],[stk 5 dagar buffara]]*Tabel2[[#This Row],[inkøbspris pr stk]]</f>
        <v>0</v>
      </c>
    </row>
    <row r="59" spans="1:20" ht="20.100000000000001" customHeight="1" x14ac:dyDescent="0.25">
      <c r="A59" s="1"/>
      <c r="B59" s="7" t="s">
        <v>111</v>
      </c>
      <c r="C59" s="3">
        <v>1995</v>
      </c>
      <c r="D59" s="3">
        <v>1574</v>
      </c>
      <c r="E59" s="3">
        <v>1538</v>
      </c>
      <c r="F59" s="3">
        <v>1616</v>
      </c>
      <c r="G59" s="3">
        <v>1867</v>
      </c>
      <c r="H59" s="3">
        <v>1497</v>
      </c>
      <c r="I59" s="13">
        <v>1833</v>
      </c>
      <c r="J59" s="13">
        <v>1266</v>
      </c>
      <c r="K59" s="13"/>
      <c r="L59" s="13"/>
      <c r="M59" s="13"/>
      <c r="N59" s="13"/>
      <c r="O59" s="13">
        <v>13186</v>
      </c>
      <c r="P59" s="14">
        <f t="shared" si="2"/>
        <v>91.65</v>
      </c>
      <c r="Q59" s="15">
        <f t="shared" si="3"/>
        <v>458.25</v>
      </c>
      <c r="R59" s="15" t="s">
        <v>205</v>
      </c>
      <c r="S59" s="15"/>
      <c r="T59" s="15">
        <f>+Tabel2[[#This Row],[stk 5 dagar buffara]]*Tabel2[[#This Row],[inkøbspris pr stk]]</f>
        <v>0</v>
      </c>
    </row>
    <row r="60" spans="1:20" ht="20.100000000000001" customHeight="1" x14ac:dyDescent="0.25">
      <c r="A60" s="1"/>
      <c r="B60" s="7" t="s">
        <v>112</v>
      </c>
      <c r="C60" s="3">
        <v>259</v>
      </c>
      <c r="D60" s="3">
        <v>288</v>
      </c>
      <c r="E60" s="3">
        <v>301</v>
      </c>
      <c r="F60" s="3">
        <v>164</v>
      </c>
      <c r="G60" s="3">
        <v>298</v>
      </c>
      <c r="H60" s="3">
        <v>266</v>
      </c>
      <c r="I60" s="13">
        <v>148</v>
      </c>
      <c r="J60" s="13">
        <v>116</v>
      </c>
      <c r="K60" s="13"/>
      <c r="L60" s="13"/>
      <c r="M60" s="13"/>
      <c r="N60" s="13"/>
      <c r="O60" s="13">
        <v>1840</v>
      </c>
      <c r="P60" s="14">
        <f t="shared" si="2"/>
        <v>7.4</v>
      </c>
      <c r="Q60" s="15">
        <f t="shared" si="3"/>
        <v>37</v>
      </c>
      <c r="R60" s="15" t="s">
        <v>205</v>
      </c>
      <c r="S60" s="15"/>
      <c r="T60" s="15">
        <f>+Tabel2[[#This Row],[stk 5 dagar buffara]]*Tabel2[[#This Row],[inkøbspris pr stk]]</f>
        <v>0</v>
      </c>
    </row>
    <row r="61" spans="1:20" ht="20.100000000000001" customHeight="1" x14ac:dyDescent="0.25">
      <c r="A61" s="1"/>
      <c r="B61" s="7" t="s">
        <v>113</v>
      </c>
      <c r="C61" s="3">
        <v>70</v>
      </c>
      <c r="D61" s="3">
        <v>48</v>
      </c>
      <c r="E61" s="3">
        <v>43</v>
      </c>
      <c r="F61" s="3">
        <v>55</v>
      </c>
      <c r="G61" s="3">
        <v>52</v>
      </c>
      <c r="H61" s="3">
        <v>16</v>
      </c>
      <c r="I61" s="13">
        <v>62</v>
      </c>
      <c r="J61" s="13">
        <v>63</v>
      </c>
      <c r="K61" s="13"/>
      <c r="L61" s="13"/>
      <c r="M61" s="13"/>
      <c r="N61" s="13"/>
      <c r="O61" s="13">
        <v>409</v>
      </c>
      <c r="P61" s="14">
        <f t="shared" si="2"/>
        <v>3.1</v>
      </c>
      <c r="Q61" s="15">
        <f t="shared" si="3"/>
        <v>15.5</v>
      </c>
      <c r="R61" s="15" t="s">
        <v>205</v>
      </c>
      <c r="S61" s="15"/>
      <c r="T61" s="15">
        <f>+Tabel2[[#This Row],[stk 5 dagar buffara]]*Tabel2[[#This Row],[inkøbspris pr stk]]</f>
        <v>0</v>
      </c>
    </row>
    <row r="62" spans="1:20" ht="20.100000000000001" customHeight="1" x14ac:dyDescent="0.25">
      <c r="A62" s="1"/>
      <c r="B62" s="7" t="s">
        <v>114</v>
      </c>
      <c r="C62" s="3">
        <v>10</v>
      </c>
      <c r="D62" s="3">
        <v>26</v>
      </c>
      <c r="E62" s="3">
        <v>8</v>
      </c>
      <c r="F62" s="3">
        <v>8</v>
      </c>
      <c r="G62" s="3"/>
      <c r="H62" s="3">
        <v>8</v>
      </c>
      <c r="I62" s="13">
        <v>5</v>
      </c>
      <c r="J62" s="13">
        <v>10</v>
      </c>
      <c r="K62" s="13"/>
      <c r="L62" s="13"/>
      <c r="M62" s="13"/>
      <c r="N62" s="13"/>
      <c r="O62" s="13">
        <v>75</v>
      </c>
      <c r="P62" s="14">
        <f t="shared" si="2"/>
        <v>0.25</v>
      </c>
      <c r="Q62" s="15">
        <f t="shared" si="3"/>
        <v>1.25</v>
      </c>
      <c r="R62" s="15" t="s">
        <v>205</v>
      </c>
      <c r="S62" s="15"/>
      <c r="T62" s="15">
        <f>+Tabel2[[#This Row],[stk 5 dagar buffara]]*Tabel2[[#This Row],[inkøbspris pr stk]]</f>
        <v>0</v>
      </c>
    </row>
    <row r="63" spans="1:20" ht="20.100000000000001" customHeight="1" x14ac:dyDescent="0.25">
      <c r="A63" s="1"/>
      <c r="B63" s="7" t="s">
        <v>115</v>
      </c>
      <c r="C63" s="3">
        <v>302</v>
      </c>
      <c r="D63" s="3">
        <v>345</v>
      </c>
      <c r="E63" s="3">
        <v>230</v>
      </c>
      <c r="F63" s="3">
        <v>271</v>
      </c>
      <c r="G63" s="3">
        <v>226</v>
      </c>
      <c r="H63" s="3">
        <v>319</v>
      </c>
      <c r="I63" s="13">
        <v>316</v>
      </c>
      <c r="J63" s="13">
        <v>273</v>
      </c>
      <c r="K63" s="13"/>
      <c r="L63" s="13"/>
      <c r="M63" s="13"/>
      <c r="N63" s="13"/>
      <c r="O63" s="13">
        <v>2282</v>
      </c>
      <c r="P63" s="14">
        <f t="shared" si="2"/>
        <v>15.8</v>
      </c>
      <c r="Q63" s="15">
        <f t="shared" si="3"/>
        <v>79</v>
      </c>
      <c r="R63" s="15" t="s">
        <v>205</v>
      </c>
      <c r="S63" s="15"/>
      <c r="T63" s="15">
        <f>+Tabel2[[#This Row],[stk 5 dagar buffara]]*Tabel2[[#This Row],[inkøbspris pr stk]]</f>
        <v>0</v>
      </c>
    </row>
    <row r="64" spans="1:20" ht="20.100000000000001" customHeight="1" x14ac:dyDescent="0.25">
      <c r="A64" s="1"/>
      <c r="B64" s="7" t="s">
        <v>116</v>
      </c>
      <c r="C64" s="3">
        <v>2614</v>
      </c>
      <c r="D64" s="3">
        <v>2065</v>
      </c>
      <c r="E64" s="3">
        <v>2443</v>
      </c>
      <c r="F64" s="3">
        <v>2240</v>
      </c>
      <c r="G64" s="3">
        <v>2461</v>
      </c>
      <c r="H64" s="3">
        <v>2383</v>
      </c>
      <c r="I64" s="13">
        <v>2501</v>
      </c>
      <c r="J64" s="13">
        <v>1835</v>
      </c>
      <c r="K64" s="13"/>
      <c r="L64" s="13"/>
      <c r="M64" s="13"/>
      <c r="N64" s="13"/>
      <c r="O64" s="13">
        <v>18542</v>
      </c>
      <c r="P64" s="14">
        <f t="shared" si="2"/>
        <v>125.05</v>
      </c>
      <c r="Q64" s="15">
        <f t="shared" si="3"/>
        <v>625.25</v>
      </c>
      <c r="R64" s="15" t="s">
        <v>205</v>
      </c>
      <c r="S64" s="15"/>
      <c r="T64" s="15">
        <f>+Tabel2[[#This Row],[stk 5 dagar buffara]]*Tabel2[[#This Row],[inkøbspris pr stk]]</f>
        <v>0</v>
      </c>
    </row>
    <row r="65" spans="1:20" ht="20.100000000000001" customHeight="1" x14ac:dyDescent="0.25">
      <c r="A65" s="1"/>
      <c r="B65" s="7" t="s">
        <v>117</v>
      </c>
      <c r="C65" s="3">
        <v>137</v>
      </c>
      <c r="D65" s="3">
        <v>103</v>
      </c>
      <c r="E65" s="3">
        <v>108</v>
      </c>
      <c r="F65" s="3">
        <v>103</v>
      </c>
      <c r="G65" s="3">
        <v>105</v>
      </c>
      <c r="H65" s="3">
        <v>75</v>
      </c>
      <c r="I65" s="13">
        <v>159</v>
      </c>
      <c r="J65" s="13">
        <v>124</v>
      </c>
      <c r="K65" s="13"/>
      <c r="L65" s="13"/>
      <c r="M65" s="13"/>
      <c r="N65" s="13"/>
      <c r="O65" s="13">
        <v>914</v>
      </c>
      <c r="P65" s="14">
        <f t="shared" si="2"/>
        <v>7.95</v>
      </c>
      <c r="Q65" s="15">
        <f t="shared" si="3"/>
        <v>39.75</v>
      </c>
      <c r="R65" s="15" t="s">
        <v>205</v>
      </c>
      <c r="S65" s="15"/>
      <c r="T65" s="15">
        <f>+Tabel2[[#This Row],[stk 5 dagar buffara]]*Tabel2[[#This Row],[inkøbspris pr stk]]</f>
        <v>0</v>
      </c>
    </row>
    <row r="66" spans="1:20" ht="20.100000000000001" customHeight="1" x14ac:dyDescent="0.25">
      <c r="A66" s="1"/>
      <c r="B66" s="7" t="s">
        <v>118</v>
      </c>
      <c r="C66" s="3">
        <v>45</v>
      </c>
      <c r="D66" s="3">
        <v>61</v>
      </c>
      <c r="E66" s="3">
        <v>32</v>
      </c>
      <c r="F66" s="3">
        <v>77</v>
      </c>
      <c r="G66" s="3">
        <v>51</v>
      </c>
      <c r="H66" s="3">
        <v>32</v>
      </c>
      <c r="I66" s="13">
        <v>104</v>
      </c>
      <c r="J66" s="13">
        <v>23</v>
      </c>
      <c r="K66" s="13"/>
      <c r="L66" s="13"/>
      <c r="M66" s="13"/>
      <c r="N66" s="13"/>
      <c r="O66" s="13">
        <v>425</v>
      </c>
      <c r="P66" s="14">
        <f t="shared" si="2"/>
        <v>5.2</v>
      </c>
      <c r="Q66" s="15">
        <f t="shared" si="3"/>
        <v>26</v>
      </c>
      <c r="R66" s="15" t="s">
        <v>205</v>
      </c>
      <c r="S66" s="15"/>
      <c r="T66" s="15">
        <f>+Tabel2[[#This Row],[stk 5 dagar buffara]]*Tabel2[[#This Row],[inkøbspris pr stk]]</f>
        <v>0</v>
      </c>
    </row>
    <row r="67" spans="1:20" ht="20.100000000000001" customHeight="1" x14ac:dyDescent="0.25">
      <c r="A67" s="1"/>
      <c r="B67" s="7" t="s">
        <v>119</v>
      </c>
      <c r="C67" s="3">
        <v>1240</v>
      </c>
      <c r="D67" s="3">
        <v>1180</v>
      </c>
      <c r="E67" s="3">
        <v>1142</v>
      </c>
      <c r="F67" s="3">
        <v>1101</v>
      </c>
      <c r="G67" s="3">
        <v>1160</v>
      </c>
      <c r="H67" s="3">
        <v>940</v>
      </c>
      <c r="I67" s="13">
        <v>1371</v>
      </c>
      <c r="J67" s="13">
        <v>952</v>
      </c>
      <c r="K67" s="13"/>
      <c r="L67" s="13"/>
      <c r="M67" s="13"/>
      <c r="N67" s="13"/>
      <c r="O67" s="13">
        <v>9086</v>
      </c>
      <c r="P67" s="14">
        <f t="shared" si="2"/>
        <v>68.55</v>
      </c>
      <c r="Q67" s="15">
        <f t="shared" si="3"/>
        <v>342.75</v>
      </c>
      <c r="R67" s="15" t="s">
        <v>205</v>
      </c>
      <c r="S67" s="15"/>
      <c r="T67" s="15">
        <f>+Tabel2[[#This Row],[stk 5 dagar buffara]]*Tabel2[[#This Row],[inkøbspris pr stk]]</f>
        <v>0</v>
      </c>
    </row>
    <row r="68" spans="1:20" ht="20.100000000000001" customHeight="1" x14ac:dyDescent="0.25">
      <c r="A68" s="1"/>
      <c r="B68" s="7" t="s">
        <v>120</v>
      </c>
      <c r="C68" s="3">
        <v>38</v>
      </c>
      <c r="D68" s="3">
        <v>33</v>
      </c>
      <c r="E68" s="3"/>
      <c r="F68" s="3">
        <v>5</v>
      </c>
      <c r="G68" s="3">
        <v>82</v>
      </c>
      <c r="H68" s="3">
        <v>34</v>
      </c>
      <c r="I68" s="13">
        <v>24</v>
      </c>
      <c r="J68" s="13">
        <v>30</v>
      </c>
      <c r="K68" s="13"/>
      <c r="L68" s="13"/>
      <c r="M68" s="13"/>
      <c r="N68" s="13"/>
      <c r="O68" s="13">
        <v>246</v>
      </c>
      <c r="P68" s="14">
        <f t="shared" ref="P68:P99" si="4">+I68/+$P$2</f>
        <v>1.2</v>
      </c>
      <c r="Q68" s="15">
        <f t="shared" ref="Q68:Q99" si="5">+P68*$Q$1</f>
        <v>6</v>
      </c>
      <c r="R68" s="15" t="s">
        <v>205</v>
      </c>
      <c r="S68" s="15"/>
      <c r="T68" s="15">
        <f>+Tabel2[[#This Row],[stk 5 dagar buffara]]*Tabel2[[#This Row],[inkøbspris pr stk]]</f>
        <v>0</v>
      </c>
    </row>
    <row r="69" spans="1:20" ht="20.100000000000001" customHeight="1" x14ac:dyDescent="0.25">
      <c r="A69" s="1"/>
      <c r="B69" s="7" t="s">
        <v>121</v>
      </c>
      <c r="C69" s="3">
        <v>528</v>
      </c>
      <c r="D69" s="3">
        <v>511</v>
      </c>
      <c r="E69" s="3">
        <v>495</v>
      </c>
      <c r="F69" s="3">
        <v>440</v>
      </c>
      <c r="G69" s="3">
        <v>540</v>
      </c>
      <c r="H69" s="3">
        <v>386</v>
      </c>
      <c r="I69" s="13">
        <v>464</v>
      </c>
      <c r="J69" s="13">
        <v>381</v>
      </c>
      <c r="K69" s="13"/>
      <c r="L69" s="13"/>
      <c r="M69" s="13"/>
      <c r="N69" s="13"/>
      <c r="O69" s="13">
        <v>3745</v>
      </c>
      <c r="P69" s="14">
        <f t="shared" si="4"/>
        <v>23.2</v>
      </c>
      <c r="Q69" s="15">
        <f t="shared" si="5"/>
        <v>116</v>
      </c>
      <c r="R69" s="15" t="s">
        <v>205</v>
      </c>
      <c r="S69" s="15"/>
      <c r="T69" s="15">
        <f>+Tabel2[[#This Row],[stk 5 dagar buffara]]*Tabel2[[#This Row],[inkøbspris pr stk]]</f>
        <v>0</v>
      </c>
    </row>
    <row r="70" spans="1:20" ht="20.100000000000001" customHeight="1" x14ac:dyDescent="0.25">
      <c r="A70" s="1"/>
      <c r="B70" s="7" t="s">
        <v>122</v>
      </c>
      <c r="C70" s="3">
        <v>13</v>
      </c>
      <c r="D70" s="3">
        <v>14</v>
      </c>
      <c r="E70" s="3">
        <v>13</v>
      </c>
      <c r="F70" s="3">
        <v>3</v>
      </c>
      <c r="G70" s="3">
        <v>18</v>
      </c>
      <c r="H70" s="3">
        <v>13</v>
      </c>
      <c r="I70" s="13">
        <v>7</v>
      </c>
      <c r="J70" s="13">
        <v>4</v>
      </c>
      <c r="K70" s="13"/>
      <c r="L70" s="13"/>
      <c r="M70" s="13"/>
      <c r="N70" s="13"/>
      <c r="O70" s="13">
        <v>85</v>
      </c>
      <c r="P70" s="14">
        <f t="shared" si="4"/>
        <v>0.35</v>
      </c>
      <c r="Q70" s="15">
        <f t="shared" si="5"/>
        <v>1.75</v>
      </c>
      <c r="R70" s="15" t="s">
        <v>205</v>
      </c>
      <c r="S70" s="15"/>
      <c r="T70" s="15">
        <f>+Tabel2[[#This Row],[stk 5 dagar buffara]]*Tabel2[[#This Row],[inkøbspris pr stk]]</f>
        <v>0</v>
      </c>
    </row>
    <row r="71" spans="1:20" ht="20.100000000000001" customHeight="1" x14ac:dyDescent="0.25">
      <c r="A71" s="1"/>
      <c r="B71" s="7" t="s">
        <v>123</v>
      </c>
      <c r="C71" s="3">
        <v>16</v>
      </c>
      <c r="D71" s="3">
        <v>16</v>
      </c>
      <c r="E71" s="3">
        <v>11</v>
      </c>
      <c r="F71" s="3">
        <v>19</v>
      </c>
      <c r="G71" s="3">
        <v>13</v>
      </c>
      <c r="H71" s="3">
        <v>20</v>
      </c>
      <c r="I71" s="13">
        <v>11</v>
      </c>
      <c r="J71" s="13">
        <v>5</v>
      </c>
      <c r="K71" s="13"/>
      <c r="L71" s="13"/>
      <c r="M71" s="13"/>
      <c r="N71" s="13"/>
      <c r="O71" s="13">
        <v>111</v>
      </c>
      <c r="P71" s="14">
        <f t="shared" si="4"/>
        <v>0.55000000000000004</v>
      </c>
      <c r="Q71" s="15">
        <f t="shared" si="5"/>
        <v>2.75</v>
      </c>
      <c r="R71" s="15" t="s">
        <v>205</v>
      </c>
      <c r="S71" s="15"/>
      <c r="T71" s="15">
        <f>+Tabel2[[#This Row],[stk 5 dagar buffara]]*Tabel2[[#This Row],[inkøbspris pr stk]]</f>
        <v>0</v>
      </c>
    </row>
    <row r="72" spans="1:20" ht="20.100000000000001" hidden="1" customHeight="1" x14ac:dyDescent="0.25">
      <c r="A72" s="1"/>
      <c r="B72" s="7" t="s">
        <v>124</v>
      </c>
      <c r="C72" s="3"/>
      <c r="D72" s="3"/>
      <c r="E72" s="3">
        <v>12</v>
      </c>
      <c r="F72" s="3">
        <v>2</v>
      </c>
      <c r="G72" s="3">
        <v>1</v>
      </c>
      <c r="H72" s="3"/>
      <c r="I72" s="13"/>
      <c r="J72" s="13"/>
      <c r="K72" s="13"/>
      <c r="L72" s="13"/>
      <c r="M72" s="13"/>
      <c r="N72" s="13"/>
      <c r="O72" s="13">
        <v>15</v>
      </c>
      <c r="P72" s="14">
        <f t="shared" si="4"/>
        <v>0</v>
      </c>
      <c r="Q72" s="15">
        <f t="shared" si="5"/>
        <v>0</v>
      </c>
      <c r="R72" s="15" t="s">
        <v>205</v>
      </c>
      <c r="S72" s="15"/>
      <c r="T72" s="15">
        <f>+Tabel2[[#This Row],[stk 5 dagar buffara]]*Tabel2[[#This Row],[inkøbspris pr stk]]</f>
        <v>0</v>
      </c>
    </row>
    <row r="73" spans="1:20" ht="20.100000000000001" hidden="1" customHeight="1" x14ac:dyDescent="0.25">
      <c r="A73" s="1"/>
      <c r="B73" s="7" t="s">
        <v>125</v>
      </c>
      <c r="C73" s="3">
        <v>1</v>
      </c>
      <c r="D73" s="3"/>
      <c r="E73" s="3">
        <v>2</v>
      </c>
      <c r="F73" s="3"/>
      <c r="G73" s="3">
        <v>1</v>
      </c>
      <c r="H73" s="3"/>
      <c r="I73" s="13"/>
      <c r="J73" s="13"/>
      <c r="K73" s="13"/>
      <c r="L73" s="13"/>
      <c r="M73" s="13"/>
      <c r="N73" s="13"/>
      <c r="O73" s="13">
        <v>4</v>
      </c>
      <c r="P73" s="14">
        <f t="shared" si="4"/>
        <v>0</v>
      </c>
      <c r="Q73" s="15">
        <f t="shared" si="5"/>
        <v>0</v>
      </c>
      <c r="R73" s="15" t="s">
        <v>205</v>
      </c>
      <c r="S73" s="15"/>
      <c r="T73" s="15">
        <f>+Tabel2[[#This Row],[stk 5 dagar buffara]]*Tabel2[[#This Row],[inkøbspris pr stk]]</f>
        <v>0</v>
      </c>
    </row>
    <row r="74" spans="1:20" ht="20.100000000000001" customHeight="1" x14ac:dyDescent="0.25">
      <c r="A74" s="1"/>
      <c r="B74" s="7" t="s">
        <v>126</v>
      </c>
      <c r="C74" s="3">
        <v>5205</v>
      </c>
      <c r="D74" s="3">
        <v>5071</v>
      </c>
      <c r="E74" s="3">
        <v>5040</v>
      </c>
      <c r="F74" s="3">
        <v>4120</v>
      </c>
      <c r="G74" s="3">
        <v>3736</v>
      </c>
      <c r="H74" s="3">
        <v>4000</v>
      </c>
      <c r="I74" s="13">
        <v>4962</v>
      </c>
      <c r="J74" s="13">
        <v>2280</v>
      </c>
      <c r="K74" s="13"/>
      <c r="L74" s="13"/>
      <c r="M74" s="13"/>
      <c r="N74" s="13"/>
      <c r="O74" s="13">
        <v>34414</v>
      </c>
      <c r="P74" s="14">
        <f t="shared" si="4"/>
        <v>248.1</v>
      </c>
      <c r="Q74" s="15">
        <f t="shared" si="5"/>
        <v>1240.5</v>
      </c>
      <c r="R74" s="15" t="s">
        <v>205</v>
      </c>
      <c r="S74" s="15"/>
      <c r="T74" s="15">
        <f>+Tabel2[[#This Row],[stk 5 dagar buffara]]*Tabel2[[#This Row],[inkøbspris pr stk]]</f>
        <v>0</v>
      </c>
    </row>
    <row r="75" spans="1:20" ht="20.100000000000001" customHeight="1" x14ac:dyDescent="0.25">
      <c r="A75" s="1"/>
      <c r="B75" s="7" t="s">
        <v>127</v>
      </c>
      <c r="C75" s="3">
        <v>516</v>
      </c>
      <c r="D75" s="3">
        <v>559</v>
      </c>
      <c r="E75" s="3">
        <v>575</v>
      </c>
      <c r="F75" s="3">
        <v>497</v>
      </c>
      <c r="G75" s="3">
        <v>497</v>
      </c>
      <c r="H75" s="3">
        <v>623</v>
      </c>
      <c r="I75" s="13">
        <v>611</v>
      </c>
      <c r="J75" s="13">
        <v>487</v>
      </c>
      <c r="K75" s="13"/>
      <c r="L75" s="13"/>
      <c r="M75" s="13"/>
      <c r="N75" s="13"/>
      <c r="O75" s="13">
        <v>4365</v>
      </c>
      <c r="P75" s="14">
        <f t="shared" si="4"/>
        <v>30.55</v>
      </c>
      <c r="Q75" s="15">
        <f t="shared" si="5"/>
        <v>152.75</v>
      </c>
      <c r="R75" s="15" t="s">
        <v>205</v>
      </c>
      <c r="S75" s="15"/>
      <c r="T75" s="15">
        <f>+Tabel2[[#This Row],[stk 5 dagar buffara]]*Tabel2[[#This Row],[inkøbspris pr stk]]</f>
        <v>0</v>
      </c>
    </row>
    <row r="76" spans="1:20" ht="20.100000000000001" customHeight="1" x14ac:dyDescent="0.25">
      <c r="A76" s="1"/>
      <c r="B76" s="7" t="s">
        <v>128</v>
      </c>
      <c r="C76" s="3">
        <v>1657</v>
      </c>
      <c r="D76" s="3">
        <v>1778</v>
      </c>
      <c r="E76" s="3">
        <v>1557</v>
      </c>
      <c r="F76" s="3">
        <v>1319</v>
      </c>
      <c r="G76" s="3">
        <v>1625</v>
      </c>
      <c r="H76" s="3">
        <v>1399</v>
      </c>
      <c r="I76" s="13">
        <v>1473</v>
      </c>
      <c r="J76" s="13">
        <v>1164</v>
      </c>
      <c r="K76" s="13"/>
      <c r="L76" s="13"/>
      <c r="M76" s="13"/>
      <c r="N76" s="13"/>
      <c r="O76" s="13">
        <v>11972</v>
      </c>
      <c r="P76" s="14">
        <f t="shared" si="4"/>
        <v>73.650000000000006</v>
      </c>
      <c r="Q76" s="15">
        <f t="shared" si="5"/>
        <v>368.25</v>
      </c>
      <c r="R76" s="15" t="s">
        <v>205</v>
      </c>
      <c r="S76" s="15"/>
      <c r="T76" s="15">
        <f>+Tabel2[[#This Row],[stk 5 dagar buffara]]*Tabel2[[#This Row],[inkøbspris pr stk]]</f>
        <v>0</v>
      </c>
    </row>
    <row r="77" spans="1:20" ht="20.100000000000001" customHeight="1" x14ac:dyDescent="0.25">
      <c r="A77" s="1"/>
      <c r="B77" s="7" t="s">
        <v>129</v>
      </c>
      <c r="C77" s="3">
        <v>113</v>
      </c>
      <c r="D77" s="3">
        <v>12</v>
      </c>
      <c r="E77" s="3">
        <v>8</v>
      </c>
      <c r="F77" s="3">
        <v>10</v>
      </c>
      <c r="G77" s="3">
        <v>10</v>
      </c>
      <c r="H77" s="3">
        <v>10</v>
      </c>
      <c r="I77" s="13">
        <v>13</v>
      </c>
      <c r="J77" s="13">
        <v>3</v>
      </c>
      <c r="K77" s="13"/>
      <c r="L77" s="13"/>
      <c r="M77" s="13"/>
      <c r="N77" s="13"/>
      <c r="O77" s="13">
        <v>179</v>
      </c>
      <c r="P77" s="14">
        <f t="shared" si="4"/>
        <v>0.65</v>
      </c>
      <c r="Q77" s="15">
        <f t="shared" si="5"/>
        <v>3.25</v>
      </c>
      <c r="R77" s="15" t="s">
        <v>205</v>
      </c>
      <c r="S77" s="15"/>
      <c r="T77" s="15">
        <f>+Tabel2[[#This Row],[stk 5 dagar buffara]]*Tabel2[[#This Row],[inkøbspris pr stk]]</f>
        <v>0</v>
      </c>
    </row>
    <row r="78" spans="1:20" ht="20.100000000000001" customHeight="1" x14ac:dyDescent="0.25">
      <c r="A78" s="1"/>
      <c r="B78" s="7" t="s">
        <v>130</v>
      </c>
      <c r="C78" s="3">
        <v>2076</v>
      </c>
      <c r="D78" s="3">
        <v>1890</v>
      </c>
      <c r="E78" s="3">
        <v>1925</v>
      </c>
      <c r="F78" s="3">
        <v>1443</v>
      </c>
      <c r="G78" s="3">
        <v>1683</v>
      </c>
      <c r="H78" s="3">
        <v>1502</v>
      </c>
      <c r="I78" s="13">
        <v>1335</v>
      </c>
      <c r="J78" s="13">
        <v>1050</v>
      </c>
      <c r="K78" s="13"/>
      <c r="L78" s="13"/>
      <c r="M78" s="13"/>
      <c r="N78" s="13"/>
      <c r="O78" s="13">
        <v>12904</v>
      </c>
      <c r="P78" s="14">
        <f t="shared" si="4"/>
        <v>66.75</v>
      </c>
      <c r="Q78" s="15">
        <f t="shared" si="5"/>
        <v>333.75</v>
      </c>
      <c r="R78" s="15" t="s">
        <v>205</v>
      </c>
      <c r="S78" s="15"/>
      <c r="T78" s="15">
        <f>+Tabel2[[#This Row],[stk 5 dagar buffara]]*Tabel2[[#This Row],[inkøbspris pr stk]]</f>
        <v>0</v>
      </c>
    </row>
    <row r="79" spans="1:20" ht="20.100000000000001" customHeight="1" x14ac:dyDescent="0.25">
      <c r="A79" s="1"/>
      <c r="B79" s="7" t="s">
        <v>131</v>
      </c>
      <c r="C79" s="3">
        <v>186</v>
      </c>
      <c r="D79" s="3">
        <v>119</v>
      </c>
      <c r="E79" s="3">
        <v>101</v>
      </c>
      <c r="F79" s="3">
        <v>200</v>
      </c>
      <c r="G79" s="3">
        <v>173</v>
      </c>
      <c r="H79" s="3">
        <v>35</v>
      </c>
      <c r="I79" s="13">
        <v>17</v>
      </c>
      <c r="J79" s="13">
        <v>39</v>
      </c>
      <c r="K79" s="13"/>
      <c r="L79" s="13"/>
      <c r="M79" s="13"/>
      <c r="N79" s="13"/>
      <c r="O79" s="13">
        <v>870</v>
      </c>
      <c r="P79" s="14">
        <f t="shared" si="4"/>
        <v>0.85</v>
      </c>
      <c r="Q79" s="15">
        <f t="shared" si="5"/>
        <v>4.25</v>
      </c>
      <c r="R79" s="15" t="s">
        <v>205</v>
      </c>
      <c r="S79" s="15"/>
      <c r="T79" s="15">
        <f>+Tabel2[[#This Row],[stk 5 dagar buffara]]*Tabel2[[#This Row],[inkøbspris pr stk]]</f>
        <v>0</v>
      </c>
    </row>
    <row r="80" spans="1:20" ht="20.100000000000001" customHeight="1" x14ac:dyDescent="0.25">
      <c r="A80" s="1"/>
      <c r="B80" s="7" t="s">
        <v>132</v>
      </c>
      <c r="C80" s="3">
        <v>153</v>
      </c>
      <c r="D80" s="3">
        <v>225</v>
      </c>
      <c r="E80" s="3">
        <v>169</v>
      </c>
      <c r="F80" s="3">
        <v>122</v>
      </c>
      <c r="G80" s="3">
        <v>188</v>
      </c>
      <c r="H80" s="3">
        <v>246</v>
      </c>
      <c r="I80" s="13">
        <v>191</v>
      </c>
      <c r="J80" s="13">
        <v>125</v>
      </c>
      <c r="K80" s="13"/>
      <c r="L80" s="13"/>
      <c r="M80" s="13"/>
      <c r="N80" s="13"/>
      <c r="O80" s="13">
        <v>1419</v>
      </c>
      <c r="P80" s="14">
        <f t="shared" si="4"/>
        <v>9.5500000000000007</v>
      </c>
      <c r="Q80" s="15">
        <f t="shared" si="5"/>
        <v>47.75</v>
      </c>
      <c r="R80" s="15" t="s">
        <v>205</v>
      </c>
      <c r="S80" s="15"/>
      <c r="T80" s="15">
        <f>+Tabel2[[#This Row],[stk 5 dagar buffara]]*Tabel2[[#This Row],[inkøbspris pr stk]]</f>
        <v>0</v>
      </c>
    </row>
    <row r="81" spans="1:20" ht="20.100000000000001" customHeight="1" x14ac:dyDescent="0.25">
      <c r="A81" s="1"/>
      <c r="B81" s="7" t="s">
        <v>133</v>
      </c>
      <c r="C81" s="3">
        <v>138</v>
      </c>
      <c r="D81" s="3">
        <v>174</v>
      </c>
      <c r="E81" s="3">
        <v>159</v>
      </c>
      <c r="F81" s="3">
        <v>73</v>
      </c>
      <c r="G81" s="3">
        <v>144</v>
      </c>
      <c r="H81" s="3">
        <v>131</v>
      </c>
      <c r="I81" s="13">
        <v>241</v>
      </c>
      <c r="J81" s="13">
        <v>67</v>
      </c>
      <c r="K81" s="13"/>
      <c r="L81" s="13"/>
      <c r="M81" s="13"/>
      <c r="N81" s="13"/>
      <c r="O81" s="13">
        <v>1127</v>
      </c>
      <c r="P81" s="14">
        <f t="shared" si="4"/>
        <v>12.05</v>
      </c>
      <c r="Q81" s="15">
        <f t="shared" si="5"/>
        <v>60.25</v>
      </c>
      <c r="R81" s="15" t="s">
        <v>205</v>
      </c>
      <c r="S81" s="15"/>
      <c r="T81" s="15">
        <f>+Tabel2[[#This Row],[stk 5 dagar buffara]]*Tabel2[[#This Row],[inkøbspris pr stk]]</f>
        <v>0</v>
      </c>
    </row>
    <row r="82" spans="1:20" ht="20.100000000000001" customHeight="1" x14ac:dyDescent="0.25">
      <c r="A82" s="1"/>
      <c r="B82" s="7" t="s">
        <v>134</v>
      </c>
      <c r="C82" s="3">
        <v>1445</v>
      </c>
      <c r="D82" s="3">
        <v>1102</v>
      </c>
      <c r="E82" s="3">
        <v>1440</v>
      </c>
      <c r="F82" s="3">
        <v>1166</v>
      </c>
      <c r="G82" s="3">
        <v>1002</v>
      </c>
      <c r="H82" s="3">
        <v>1217</v>
      </c>
      <c r="I82" s="13">
        <v>1099</v>
      </c>
      <c r="J82" s="13">
        <v>864</v>
      </c>
      <c r="K82" s="13"/>
      <c r="L82" s="13"/>
      <c r="M82" s="13"/>
      <c r="N82" s="13"/>
      <c r="O82" s="13">
        <v>9335</v>
      </c>
      <c r="P82" s="14">
        <f t="shared" si="4"/>
        <v>54.95</v>
      </c>
      <c r="Q82" s="15">
        <f t="shared" si="5"/>
        <v>274.75</v>
      </c>
      <c r="R82" s="15" t="s">
        <v>205</v>
      </c>
      <c r="S82" s="15"/>
      <c r="T82" s="15">
        <f>+Tabel2[[#This Row],[stk 5 dagar buffara]]*Tabel2[[#This Row],[inkøbspris pr stk]]</f>
        <v>0</v>
      </c>
    </row>
    <row r="83" spans="1:20" ht="20.100000000000001" customHeight="1" x14ac:dyDescent="0.25">
      <c r="A83" s="1"/>
      <c r="B83" s="7" t="s">
        <v>135</v>
      </c>
      <c r="C83" s="3">
        <v>16</v>
      </c>
      <c r="D83" s="3">
        <v>194</v>
      </c>
      <c r="E83" s="3">
        <v>1</v>
      </c>
      <c r="F83" s="3">
        <v>3</v>
      </c>
      <c r="G83" s="3">
        <v>289</v>
      </c>
      <c r="H83" s="3">
        <v>4</v>
      </c>
      <c r="I83" s="13">
        <v>1</v>
      </c>
      <c r="J83" s="13">
        <v>5</v>
      </c>
      <c r="K83" s="13"/>
      <c r="L83" s="13"/>
      <c r="M83" s="13"/>
      <c r="N83" s="13"/>
      <c r="O83" s="13">
        <v>513</v>
      </c>
      <c r="P83" s="14">
        <f t="shared" si="4"/>
        <v>0.05</v>
      </c>
      <c r="Q83" s="15">
        <f t="shared" si="5"/>
        <v>0.25</v>
      </c>
      <c r="R83" s="15" t="s">
        <v>205</v>
      </c>
      <c r="S83" s="15"/>
      <c r="T83" s="15">
        <f>+Tabel2[[#This Row],[stk 5 dagar buffara]]*Tabel2[[#This Row],[inkøbspris pr stk]]</f>
        <v>0</v>
      </c>
    </row>
    <row r="84" spans="1:20" ht="20.100000000000001" customHeight="1" x14ac:dyDescent="0.25">
      <c r="A84" s="1"/>
      <c r="B84" s="7" t="s">
        <v>136</v>
      </c>
      <c r="C84" s="3">
        <v>510</v>
      </c>
      <c r="D84" s="3">
        <v>535</v>
      </c>
      <c r="E84" s="3">
        <v>585</v>
      </c>
      <c r="F84" s="3">
        <v>436</v>
      </c>
      <c r="G84" s="3">
        <v>492</v>
      </c>
      <c r="H84" s="3">
        <v>375</v>
      </c>
      <c r="I84" s="13">
        <v>442</v>
      </c>
      <c r="J84" s="13">
        <v>342</v>
      </c>
      <c r="K84" s="13"/>
      <c r="L84" s="13"/>
      <c r="M84" s="13"/>
      <c r="N84" s="13"/>
      <c r="O84" s="13">
        <v>3717</v>
      </c>
      <c r="P84" s="14">
        <f t="shared" si="4"/>
        <v>22.1</v>
      </c>
      <c r="Q84" s="15">
        <f t="shared" si="5"/>
        <v>110.5</v>
      </c>
      <c r="R84" s="15" t="s">
        <v>205</v>
      </c>
      <c r="S84" s="15"/>
      <c r="T84" s="15">
        <f>+Tabel2[[#This Row],[stk 5 dagar buffara]]*Tabel2[[#This Row],[inkøbspris pr stk]]</f>
        <v>0</v>
      </c>
    </row>
    <row r="85" spans="1:20" ht="20.100000000000001" customHeight="1" x14ac:dyDescent="0.25">
      <c r="A85" s="1"/>
      <c r="B85" s="7" t="s">
        <v>137</v>
      </c>
      <c r="C85" s="3">
        <v>293</v>
      </c>
      <c r="D85" s="3">
        <v>248</v>
      </c>
      <c r="E85" s="3">
        <v>365</v>
      </c>
      <c r="F85" s="3">
        <v>222</v>
      </c>
      <c r="G85" s="3">
        <v>347</v>
      </c>
      <c r="H85" s="3">
        <v>196</v>
      </c>
      <c r="I85" s="13">
        <v>238</v>
      </c>
      <c r="J85" s="13">
        <v>199</v>
      </c>
      <c r="K85" s="13"/>
      <c r="L85" s="13"/>
      <c r="M85" s="13"/>
      <c r="N85" s="13"/>
      <c r="O85" s="13">
        <v>2108</v>
      </c>
      <c r="P85" s="14">
        <f t="shared" si="4"/>
        <v>11.9</v>
      </c>
      <c r="Q85" s="15">
        <f t="shared" si="5"/>
        <v>59.5</v>
      </c>
      <c r="R85" s="15" t="s">
        <v>205</v>
      </c>
      <c r="S85" s="15"/>
      <c r="T85" s="15">
        <f>+Tabel2[[#This Row],[stk 5 dagar buffara]]*Tabel2[[#This Row],[inkøbspris pr stk]]</f>
        <v>0</v>
      </c>
    </row>
    <row r="86" spans="1:20" ht="20.100000000000001" customHeight="1" x14ac:dyDescent="0.25">
      <c r="A86" s="1"/>
      <c r="B86" s="7" t="s">
        <v>138</v>
      </c>
      <c r="C86" s="3">
        <v>1046</v>
      </c>
      <c r="D86" s="3">
        <v>1155</v>
      </c>
      <c r="E86" s="3">
        <v>1048</v>
      </c>
      <c r="F86" s="3">
        <v>1016</v>
      </c>
      <c r="G86" s="3">
        <v>958</v>
      </c>
      <c r="H86" s="3">
        <v>1016</v>
      </c>
      <c r="I86" s="13">
        <v>909</v>
      </c>
      <c r="J86" s="13">
        <v>868</v>
      </c>
      <c r="K86" s="13"/>
      <c r="L86" s="13"/>
      <c r="M86" s="13"/>
      <c r="N86" s="13"/>
      <c r="O86" s="13">
        <v>8016</v>
      </c>
      <c r="P86" s="14">
        <f t="shared" si="4"/>
        <v>45.45</v>
      </c>
      <c r="Q86" s="15">
        <f t="shared" si="5"/>
        <v>227.25</v>
      </c>
      <c r="R86" s="15" t="s">
        <v>205</v>
      </c>
      <c r="S86" s="15"/>
      <c r="T86" s="15">
        <f>+Tabel2[[#This Row],[stk 5 dagar buffara]]*Tabel2[[#This Row],[inkøbspris pr stk]]</f>
        <v>0</v>
      </c>
    </row>
    <row r="87" spans="1:20" ht="20.100000000000001" customHeight="1" x14ac:dyDescent="0.25">
      <c r="A87" s="1"/>
      <c r="B87" s="7" t="s">
        <v>139</v>
      </c>
      <c r="C87" s="3">
        <v>31</v>
      </c>
      <c r="D87" s="3">
        <v>45</v>
      </c>
      <c r="E87" s="3">
        <v>33</v>
      </c>
      <c r="F87" s="3"/>
      <c r="G87" s="3">
        <v>12</v>
      </c>
      <c r="H87" s="3">
        <v>24</v>
      </c>
      <c r="I87" s="13">
        <v>76</v>
      </c>
      <c r="J87" s="13">
        <v>25</v>
      </c>
      <c r="K87" s="13"/>
      <c r="L87" s="13"/>
      <c r="M87" s="13"/>
      <c r="N87" s="13"/>
      <c r="O87" s="13">
        <v>246</v>
      </c>
      <c r="P87" s="14">
        <f t="shared" si="4"/>
        <v>3.8</v>
      </c>
      <c r="Q87" s="15">
        <f t="shared" si="5"/>
        <v>19</v>
      </c>
      <c r="R87" s="15" t="s">
        <v>205</v>
      </c>
      <c r="S87" s="15"/>
      <c r="T87" s="15">
        <f>+Tabel2[[#This Row],[stk 5 dagar buffara]]*Tabel2[[#This Row],[inkøbspris pr stk]]</f>
        <v>0</v>
      </c>
    </row>
    <row r="88" spans="1:20" ht="20.100000000000001" customHeight="1" x14ac:dyDescent="0.25">
      <c r="A88" s="1"/>
      <c r="B88" s="7" t="s">
        <v>140</v>
      </c>
      <c r="C88" s="3">
        <v>266</v>
      </c>
      <c r="D88" s="3">
        <v>197</v>
      </c>
      <c r="E88" s="3">
        <v>275</v>
      </c>
      <c r="F88" s="3">
        <v>274</v>
      </c>
      <c r="G88" s="3">
        <v>229</v>
      </c>
      <c r="H88" s="3">
        <v>190</v>
      </c>
      <c r="I88" s="13">
        <v>237</v>
      </c>
      <c r="J88" s="13">
        <v>165</v>
      </c>
      <c r="K88" s="13"/>
      <c r="L88" s="13"/>
      <c r="M88" s="13"/>
      <c r="N88" s="13"/>
      <c r="O88" s="13">
        <v>1833</v>
      </c>
      <c r="P88" s="14">
        <f t="shared" si="4"/>
        <v>11.85</v>
      </c>
      <c r="Q88" s="15">
        <f t="shared" si="5"/>
        <v>59.25</v>
      </c>
      <c r="R88" s="15" t="s">
        <v>205</v>
      </c>
      <c r="S88" s="15"/>
      <c r="T88" s="15">
        <f>+Tabel2[[#This Row],[stk 5 dagar buffara]]*Tabel2[[#This Row],[inkøbspris pr stk]]</f>
        <v>0</v>
      </c>
    </row>
    <row r="89" spans="1:20" ht="20.100000000000001" customHeight="1" x14ac:dyDescent="0.25">
      <c r="A89" s="1"/>
      <c r="B89" s="7" t="s">
        <v>141</v>
      </c>
      <c r="C89" s="3">
        <v>147</v>
      </c>
      <c r="D89" s="3">
        <v>183</v>
      </c>
      <c r="E89" s="3">
        <v>193</v>
      </c>
      <c r="F89" s="3">
        <v>192</v>
      </c>
      <c r="G89" s="3">
        <v>183</v>
      </c>
      <c r="H89" s="3">
        <v>162</v>
      </c>
      <c r="I89" s="13">
        <v>268</v>
      </c>
      <c r="J89" s="13">
        <v>135</v>
      </c>
      <c r="K89" s="13"/>
      <c r="L89" s="13"/>
      <c r="M89" s="13"/>
      <c r="N89" s="13"/>
      <c r="O89" s="13">
        <v>1463</v>
      </c>
      <c r="P89" s="14">
        <f t="shared" si="4"/>
        <v>13.4</v>
      </c>
      <c r="Q89" s="15">
        <f t="shared" si="5"/>
        <v>67</v>
      </c>
      <c r="R89" s="15" t="s">
        <v>205</v>
      </c>
      <c r="S89" s="15"/>
      <c r="T89" s="15">
        <f>+Tabel2[[#This Row],[stk 5 dagar buffara]]*Tabel2[[#This Row],[inkøbspris pr stk]]</f>
        <v>0</v>
      </c>
    </row>
    <row r="90" spans="1:20" ht="20.100000000000001" customHeight="1" x14ac:dyDescent="0.25">
      <c r="A90" s="1"/>
      <c r="B90" s="7" t="s">
        <v>142</v>
      </c>
      <c r="C90" s="3">
        <v>10</v>
      </c>
      <c r="D90" s="3">
        <v>6</v>
      </c>
      <c r="E90" s="3">
        <v>6</v>
      </c>
      <c r="F90" s="3">
        <v>5</v>
      </c>
      <c r="G90" s="3">
        <v>6</v>
      </c>
      <c r="H90" s="3">
        <v>11</v>
      </c>
      <c r="I90" s="13">
        <v>6</v>
      </c>
      <c r="J90" s="13">
        <v>3</v>
      </c>
      <c r="K90" s="13"/>
      <c r="L90" s="13"/>
      <c r="M90" s="13"/>
      <c r="N90" s="13"/>
      <c r="O90" s="13">
        <v>53</v>
      </c>
      <c r="P90" s="14">
        <f t="shared" si="4"/>
        <v>0.3</v>
      </c>
      <c r="Q90" s="15">
        <f t="shared" si="5"/>
        <v>1.5</v>
      </c>
      <c r="R90" s="15" t="s">
        <v>205</v>
      </c>
      <c r="S90" s="15"/>
      <c r="T90" s="15">
        <f>+Tabel2[[#This Row],[stk 5 dagar buffara]]*Tabel2[[#This Row],[inkøbspris pr stk]]</f>
        <v>0</v>
      </c>
    </row>
    <row r="91" spans="1:20" ht="20.100000000000001" customHeight="1" x14ac:dyDescent="0.25">
      <c r="A91" s="1"/>
      <c r="B91" s="7" t="s">
        <v>143</v>
      </c>
      <c r="C91" s="3">
        <v>41</v>
      </c>
      <c r="D91" s="3">
        <v>65</v>
      </c>
      <c r="E91" s="3">
        <v>33</v>
      </c>
      <c r="F91" s="3">
        <v>38</v>
      </c>
      <c r="G91" s="3">
        <v>38</v>
      </c>
      <c r="H91" s="3">
        <v>41</v>
      </c>
      <c r="I91" s="13">
        <v>36</v>
      </c>
      <c r="J91" s="13">
        <v>29</v>
      </c>
      <c r="K91" s="13"/>
      <c r="L91" s="13"/>
      <c r="M91" s="13"/>
      <c r="N91" s="13"/>
      <c r="O91" s="13">
        <v>321</v>
      </c>
      <c r="P91" s="14">
        <f t="shared" si="4"/>
        <v>1.8</v>
      </c>
      <c r="Q91" s="15">
        <f t="shared" si="5"/>
        <v>9</v>
      </c>
      <c r="R91" s="15" t="s">
        <v>205</v>
      </c>
      <c r="S91" s="15"/>
      <c r="T91" s="15">
        <f>+Tabel2[[#This Row],[stk 5 dagar buffara]]*Tabel2[[#This Row],[inkøbspris pr stk]]</f>
        <v>0</v>
      </c>
    </row>
    <row r="92" spans="1:20" ht="20.100000000000001" customHeight="1" x14ac:dyDescent="0.25">
      <c r="A92" s="1"/>
      <c r="B92" s="7" t="s">
        <v>144</v>
      </c>
      <c r="C92" s="3">
        <v>37</v>
      </c>
      <c r="D92" s="3">
        <v>13</v>
      </c>
      <c r="E92" s="3">
        <v>30</v>
      </c>
      <c r="F92" s="3">
        <v>36</v>
      </c>
      <c r="G92" s="3">
        <v>19</v>
      </c>
      <c r="H92" s="3">
        <v>43</v>
      </c>
      <c r="I92" s="13">
        <v>15</v>
      </c>
      <c r="J92" s="13">
        <v>11</v>
      </c>
      <c r="K92" s="13"/>
      <c r="L92" s="13"/>
      <c r="M92" s="13"/>
      <c r="N92" s="13"/>
      <c r="O92" s="13">
        <v>204</v>
      </c>
      <c r="P92" s="14">
        <f t="shared" si="4"/>
        <v>0.75</v>
      </c>
      <c r="Q92" s="15">
        <f t="shared" si="5"/>
        <v>3.75</v>
      </c>
      <c r="R92" s="15" t="s">
        <v>205</v>
      </c>
      <c r="S92" s="15"/>
      <c r="T92" s="15">
        <f>+Tabel2[[#This Row],[stk 5 dagar buffara]]*Tabel2[[#This Row],[inkøbspris pr stk]]</f>
        <v>0</v>
      </c>
    </row>
    <row r="93" spans="1:20" ht="20.100000000000001" customHeight="1" x14ac:dyDescent="0.25">
      <c r="A93" s="1"/>
      <c r="B93" s="7" t="s">
        <v>145</v>
      </c>
      <c r="C93" s="3">
        <v>3</v>
      </c>
      <c r="D93" s="3">
        <v>3</v>
      </c>
      <c r="E93" s="3">
        <v>3</v>
      </c>
      <c r="F93" s="3">
        <v>3</v>
      </c>
      <c r="G93" s="3">
        <v>2</v>
      </c>
      <c r="H93" s="3">
        <v>1</v>
      </c>
      <c r="I93" s="13">
        <v>7</v>
      </c>
      <c r="J93" s="13">
        <v>5</v>
      </c>
      <c r="K93" s="13"/>
      <c r="L93" s="13"/>
      <c r="M93" s="13"/>
      <c r="N93" s="13"/>
      <c r="O93" s="13">
        <v>27</v>
      </c>
      <c r="P93" s="14">
        <f t="shared" si="4"/>
        <v>0.35</v>
      </c>
      <c r="Q93" s="15">
        <f t="shared" si="5"/>
        <v>1.75</v>
      </c>
      <c r="R93" s="15" t="s">
        <v>205</v>
      </c>
      <c r="S93" s="15"/>
      <c r="T93" s="15">
        <f>+Tabel2[[#This Row],[stk 5 dagar buffara]]*Tabel2[[#This Row],[inkøbspris pr stk]]</f>
        <v>0</v>
      </c>
    </row>
    <row r="94" spans="1:20" ht="20.100000000000001" customHeight="1" x14ac:dyDescent="0.25">
      <c r="A94" s="1"/>
      <c r="B94" s="7" t="s">
        <v>146</v>
      </c>
      <c r="C94" s="3">
        <v>211</v>
      </c>
      <c r="D94" s="3">
        <v>178</v>
      </c>
      <c r="E94" s="3">
        <v>112</v>
      </c>
      <c r="F94" s="3">
        <v>153</v>
      </c>
      <c r="G94" s="3">
        <v>134</v>
      </c>
      <c r="H94" s="3">
        <v>97</v>
      </c>
      <c r="I94" s="13">
        <v>109</v>
      </c>
      <c r="J94" s="13">
        <v>88</v>
      </c>
      <c r="K94" s="13"/>
      <c r="L94" s="13"/>
      <c r="M94" s="13"/>
      <c r="N94" s="13"/>
      <c r="O94" s="13">
        <v>1082</v>
      </c>
      <c r="P94" s="14">
        <f t="shared" si="4"/>
        <v>5.45</v>
      </c>
      <c r="Q94" s="15">
        <f t="shared" si="5"/>
        <v>27.25</v>
      </c>
      <c r="R94" s="15" t="s">
        <v>205</v>
      </c>
      <c r="S94" s="15"/>
      <c r="T94" s="15">
        <f>+Tabel2[[#This Row],[stk 5 dagar buffara]]*Tabel2[[#This Row],[inkøbspris pr stk]]</f>
        <v>0</v>
      </c>
    </row>
    <row r="95" spans="1:20" ht="20.100000000000001" customHeight="1" x14ac:dyDescent="0.25">
      <c r="A95" s="1"/>
      <c r="B95" s="7" t="s">
        <v>147</v>
      </c>
      <c r="C95" s="3">
        <v>119</v>
      </c>
      <c r="D95" s="3">
        <v>111</v>
      </c>
      <c r="E95" s="3">
        <v>139</v>
      </c>
      <c r="F95" s="3">
        <v>59</v>
      </c>
      <c r="G95" s="3">
        <v>88</v>
      </c>
      <c r="H95" s="3">
        <v>66</v>
      </c>
      <c r="I95" s="13">
        <v>47</v>
      </c>
      <c r="J95" s="13">
        <v>44</v>
      </c>
      <c r="K95" s="13"/>
      <c r="L95" s="13"/>
      <c r="M95" s="13"/>
      <c r="N95" s="13"/>
      <c r="O95" s="13">
        <v>673</v>
      </c>
      <c r="P95" s="14">
        <f t="shared" si="4"/>
        <v>2.35</v>
      </c>
      <c r="Q95" s="15">
        <f t="shared" si="5"/>
        <v>11.75</v>
      </c>
      <c r="R95" s="15" t="s">
        <v>205</v>
      </c>
      <c r="S95" s="15"/>
      <c r="T95" s="15">
        <f>+Tabel2[[#This Row],[stk 5 dagar buffara]]*Tabel2[[#This Row],[inkøbspris pr stk]]</f>
        <v>0</v>
      </c>
    </row>
    <row r="96" spans="1:20" ht="20.100000000000001" customHeight="1" x14ac:dyDescent="0.25">
      <c r="A96" s="1"/>
      <c r="B96" s="7" t="s">
        <v>148</v>
      </c>
      <c r="C96" s="3">
        <v>420</v>
      </c>
      <c r="D96" s="3">
        <v>482</v>
      </c>
      <c r="E96" s="3">
        <v>507</v>
      </c>
      <c r="F96" s="3">
        <v>333</v>
      </c>
      <c r="G96" s="3">
        <v>472</v>
      </c>
      <c r="H96" s="3">
        <v>454</v>
      </c>
      <c r="I96" s="13">
        <v>234</v>
      </c>
      <c r="J96" s="13">
        <v>253</v>
      </c>
      <c r="K96" s="13"/>
      <c r="L96" s="13"/>
      <c r="M96" s="13"/>
      <c r="N96" s="13"/>
      <c r="O96" s="13">
        <v>3155</v>
      </c>
      <c r="P96" s="14">
        <f t="shared" si="4"/>
        <v>11.7</v>
      </c>
      <c r="Q96" s="15">
        <f t="shared" si="5"/>
        <v>58.5</v>
      </c>
      <c r="R96" s="15" t="s">
        <v>205</v>
      </c>
      <c r="S96" s="15"/>
      <c r="T96" s="15">
        <f>+Tabel2[[#This Row],[stk 5 dagar buffara]]*Tabel2[[#This Row],[inkøbspris pr stk]]</f>
        <v>0</v>
      </c>
    </row>
    <row r="97" spans="1:20" ht="20.100000000000001" customHeight="1" x14ac:dyDescent="0.25">
      <c r="A97" s="1"/>
      <c r="B97" s="7" t="s">
        <v>149</v>
      </c>
      <c r="C97" s="3">
        <v>339</v>
      </c>
      <c r="D97" s="3">
        <v>347</v>
      </c>
      <c r="E97" s="3">
        <v>378</v>
      </c>
      <c r="F97" s="3">
        <v>263</v>
      </c>
      <c r="G97" s="3">
        <v>338</v>
      </c>
      <c r="H97" s="3">
        <v>334</v>
      </c>
      <c r="I97" s="13">
        <v>200</v>
      </c>
      <c r="J97" s="13">
        <v>182</v>
      </c>
      <c r="K97" s="13"/>
      <c r="L97" s="13"/>
      <c r="M97" s="13"/>
      <c r="N97" s="13"/>
      <c r="O97" s="13">
        <v>2381</v>
      </c>
      <c r="P97" s="14">
        <f t="shared" si="4"/>
        <v>10</v>
      </c>
      <c r="Q97" s="15">
        <f t="shared" si="5"/>
        <v>50</v>
      </c>
      <c r="R97" s="15" t="s">
        <v>205</v>
      </c>
      <c r="S97" s="15"/>
      <c r="T97" s="15">
        <f>+Tabel2[[#This Row],[stk 5 dagar buffara]]*Tabel2[[#This Row],[inkøbspris pr stk]]</f>
        <v>0</v>
      </c>
    </row>
    <row r="98" spans="1:20" ht="20.100000000000001" customHeight="1" x14ac:dyDescent="0.25">
      <c r="A98" s="1"/>
      <c r="B98" s="7" t="s">
        <v>150</v>
      </c>
      <c r="C98" s="3">
        <v>747</v>
      </c>
      <c r="D98" s="3">
        <v>659</v>
      </c>
      <c r="E98" s="3">
        <v>706</v>
      </c>
      <c r="F98" s="3">
        <v>483</v>
      </c>
      <c r="G98" s="3">
        <v>679</v>
      </c>
      <c r="H98" s="3">
        <v>673</v>
      </c>
      <c r="I98" s="13">
        <v>549</v>
      </c>
      <c r="J98" s="13">
        <v>358</v>
      </c>
      <c r="K98" s="13"/>
      <c r="L98" s="13"/>
      <c r="M98" s="13"/>
      <c r="N98" s="13"/>
      <c r="O98" s="13">
        <v>4854</v>
      </c>
      <c r="P98" s="14">
        <f t="shared" si="4"/>
        <v>27.45</v>
      </c>
      <c r="Q98" s="15">
        <f t="shared" si="5"/>
        <v>137.25</v>
      </c>
      <c r="R98" s="15" t="s">
        <v>205</v>
      </c>
      <c r="S98" s="15"/>
      <c r="T98" s="15">
        <f>+Tabel2[[#This Row],[stk 5 dagar buffara]]*Tabel2[[#This Row],[inkøbspris pr stk]]</f>
        <v>0</v>
      </c>
    </row>
    <row r="99" spans="1:20" ht="20.100000000000001" customHeight="1" x14ac:dyDescent="0.25">
      <c r="A99" s="1"/>
      <c r="B99" s="7" t="s">
        <v>151</v>
      </c>
      <c r="C99" s="3">
        <v>1198</v>
      </c>
      <c r="D99" s="3">
        <v>1050</v>
      </c>
      <c r="E99" s="3">
        <v>1133</v>
      </c>
      <c r="F99" s="3">
        <v>973</v>
      </c>
      <c r="G99" s="3">
        <v>967</v>
      </c>
      <c r="H99" s="3">
        <v>1111</v>
      </c>
      <c r="I99" s="13">
        <v>1102</v>
      </c>
      <c r="J99" s="13">
        <v>664</v>
      </c>
      <c r="K99" s="13"/>
      <c r="L99" s="13"/>
      <c r="M99" s="13"/>
      <c r="N99" s="13"/>
      <c r="O99" s="13">
        <v>8198</v>
      </c>
      <c r="P99" s="14">
        <f t="shared" si="4"/>
        <v>55.1</v>
      </c>
      <c r="Q99" s="15">
        <f t="shared" si="5"/>
        <v>275.5</v>
      </c>
      <c r="R99" s="15" t="s">
        <v>205</v>
      </c>
      <c r="S99" s="15"/>
      <c r="T99" s="15">
        <f>+Tabel2[[#This Row],[stk 5 dagar buffara]]*Tabel2[[#This Row],[inkøbspris pr stk]]</f>
        <v>0</v>
      </c>
    </row>
    <row r="100" spans="1:20" ht="20.100000000000001" customHeight="1" x14ac:dyDescent="0.25">
      <c r="A100" s="1"/>
      <c r="B100" s="7" t="s">
        <v>152</v>
      </c>
      <c r="C100" s="3">
        <v>410</v>
      </c>
      <c r="D100" s="3">
        <v>357</v>
      </c>
      <c r="E100" s="3">
        <v>447</v>
      </c>
      <c r="F100" s="3">
        <v>308</v>
      </c>
      <c r="G100" s="3">
        <v>421</v>
      </c>
      <c r="H100" s="3">
        <v>367</v>
      </c>
      <c r="I100" s="13">
        <v>226</v>
      </c>
      <c r="J100" s="13">
        <v>176</v>
      </c>
      <c r="K100" s="13"/>
      <c r="L100" s="13"/>
      <c r="M100" s="13"/>
      <c r="N100" s="13"/>
      <c r="O100" s="13">
        <v>2712</v>
      </c>
      <c r="P100" s="14">
        <f t="shared" ref="P100:P131" si="6">+I100/+$P$2</f>
        <v>11.3</v>
      </c>
      <c r="Q100" s="15">
        <f t="shared" ref="Q100:Q131" si="7">+P100*$Q$1</f>
        <v>56.5</v>
      </c>
      <c r="R100" s="15" t="s">
        <v>205</v>
      </c>
      <c r="S100" s="15"/>
      <c r="T100" s="15">
        <f>+Tabel2[[#This Row],[stk 5 dagar buffara]]*Tabel2[[#This Row],[inkøbspris pr stk]]</f>
        <v>0</v>
      </c>
    </row>
    <row r="101" spans="1:20" ht="20.100000000000001" customHeight="1" x14ac:dyDescent="0.25">
      <c r="A101" s="1"/>
      <c r="B101" s="7" t="s">
        <v>153</v>
      </c>
      <c r="C101" s="3">
        <v>72</v>
      </c>
      <c r="D101" s="3">
        <v>110</v>
      </c>
      <c r="E101" s="3">
        <v>150</v>
      </c>
      <c r="F101" s="3">
        <v>68</v>
      </c>
      <c r="G101" s="3">
        <v>50</v>
      </c>
      <c r="H101" s="3">
        <v>52</v>
      </c>
      <c r="I101" s="13">
        <v>50</v>
      </c>
      <c r="J101" s="13">
        <v>24</v>
      </c>
      <c r="K101" s="13"/>
      <c r="L101" s="13"/>
      <c r="M101" s="13"/>
      <c r="N101" s="13"/>
      <c r="O101" s="13">
        <v>576</v>
      </c>
      <c r="P101" s="14">
        <f t="shared" si="6"/>
        <v>2.5</v>
      </c>
      <c r="Q101" s="15">
        <f t="shared" si="7"/>
        <v>12.5</v>
      </c>
      <c r="R101" s="15" t="s">
        <v>205</v>
      </c>
      <c r="S101" s="15"/>
      <c r="T101" s="15">
        <f>+Tabel2[[#This Row],[stk 5 dagar buffara]]*Tabel2[[#This Row],[inkøbspris pr stk]]</f>
        <v>0</v>
      </c>
    </row>
    <row r="102" spans="1:20" ht="20.100000000000001" customHeight="1" x14ac:dyDescent="0.25">
      <c r="A102" s="1"/>
      <c r="B102" s="7" t="s">
        <v>154</v>
      </c>
      <c r="C102" s="3">
        <v>914</v>
      </c>
      <c r="D102" s="3">
        <v>832</v>
      </c>
      <c r="E102" s="3">
        <v>850</v>
      </c>
      <c r="F102" s="3">
        <v>770</v>
      </c>
      <c r="G102" s="3">
        <v>734</v>
      </c>
      <c r="H102" s="3">
        <v>737</v>
      </c>
      <c r="I102" s="13">
        <v>759</v>
      </c>
      <c r="J102" s="13">
        <v>483</v>
      </c>
      <c r="K102" s="13"/>
      <c r="L102" s="13"/>
      <c r="M102" s="13"/>
      <c r="N102" s="13"/>
      <c r="O102" s="13">
        <v>6079</v>
      </c>
      <c r="P102" s="14">
        <f t="shared" si="6"/>
        <v>37.950000000000003</v>
      </c>
      <c r="Q102" s="15">
        <f t="shared" si="7"/>
        <v>189.75</v>
      </c>
      <c r="R102" s="15" t="s">
        <v>205</v>
      </c>
      <c r="S102" s="15"/>
      <c r="T102" s="15">
        <f>+Tabel2[[#This Row],[stk 5 dagar buffara]]*Tabel2[[#This Row],[inkøbspris pr stk]]</f>
        <v>0</v>
      </c>
    </row>
    <row r="103" spans="1:20" ht="20.100000000000001" customHeight="1" x14ac:dyDescent="0.25">
      <c r="A103" s="1"/>
      <c r="B103" s="7" t="s">
        <v>155</v>
      </c>
      <c r="C103" s="3">
        <v>6939</v>
      </c>
      <c r="D103" s="3">
        <v>6013</v>
      </c>
      <c r="E103" s="3">
        <v>6539</v>
      </c>
      <c r="F103" s="3">
        <v>5876</v>
      </c>
      <c r="G103" s="3">
        <v>6461</v>
      </c>
      <c r="H103" s="3">
        <v>5739</v>
      </c>
      <c r="I103" s="13">
        <v>6011</v>
      </c>
      <c r="J103" s="13">
        <v>4146</v>
      </c>
      <c r="K103" s="13"/>
      <c r="L103" s="13"/>
      <c r="M103" s="13"/>
      <c r="N103" s="13"/>
      <c r="O103" s="13">
        <v>47724</v>
      </c>
      <c r="P103" s="14">
        <f t="shared" si="6"/>
        <v>300.55</v>
      </c>
      <c r="Q103" s="15">
        <f t="shared" si="7"/>
        <v>1502.75</v>
      </c>
      <c r="R103" s="15" t="s">
        <v>205</v>
      </c>
      <c r="S103" s="15"/>
      <c r="T103" s="15">
        <f>+Tabel2[[#This Row],[stk 5 dagar buffara]]*Tabel2[[#This Row],[inkøbspris pr stk]]</f>
        <v>0</v>
      </c>
    </row>
    <row r="104" spans="1:20" ht="20.100000000000001" customHeight="1" x14ac:dyDescent="0.25">
      <c r="A104" s="1"/>
      <c r="B104" s="7" t="s">
        <v>156</v>
      </c>
      <c r="C104" s="3">
        <v>1706</v>
      </c>
      <c r="D104" s="3">
        <v>1487</v>
      </c>
      <c r="E104" s="3">
        <v>1793</v>
      </c>
      <c r="F104" s="3">
        <v>1478</v>
      </c>
      <c r="G104" s="3">
        <v>1430</v>
      </c>
      <c r="H104" s="3">
        <v>1220</v>
      </c>
      <c r="I104" s="13">
        <v>1204</v>
      </c>
      <c r="J104" s="13">
        <v>896</v>
      </c>
      <c r="K104" s="13"/>
      <c r="L104" s="13"/>
      <c r="M104" s="13"/>
      <c r="N104" s="13"/>
      <c r="O104" s="13">
        <v>11214</v>
      </c>
      <c r="P104" s="14">
        <f t="shared" si="6"/>
        <v>60.2</v>
      </c>
      <c r="Q104" s="15">
        <f t="shared" si="7"/>
        <v>301</v>
      </c>
      <c r="R104" s="15" t="s">
        <v>205</v>
      </c>
      <c r="S104" s="15"/>
      <c r="T104" s="15">
        <f>+Tabel2[[#This Row],[stk 5 dagar buffara]]*Tabel2[[#This Row],[inkøbspris pr stk]]</f>
        <v>0</v>
      </c>
    </row>
    <row r="105" spans="1:20" ht="20.100000000000001" customHeight="1" x14ac:dyDescent="0.25">
      <c r="A105" s="1"/>
      <c r="B105" s="7" t="s">
        <v>157</v>
      </c>
      <c r="C105" s="3">
        <v>379</v>
      </c>
      <c r="D105" s="3">
        <v>322</v>
      </c>
      <c r="E105" s="3">
        <v>392</v>
      </c>
      <c r="F105" s="3">
        <v>335</v>
      </c>
      <c r="G105" s="3">
        <v>353</v>
      </c>
      <c r="H105" s="3">
        <v>358</v>
      </c>
      <c r="I105" s="13">
        <v>371</v>
      </c>
      <c r="J105" s="13">
        <v>233</v>
      </c>
      <c r="K105" s="13"/>
      <c r="L105" s="13"/>
      <c r="M105" s="13"/>
      <c r="N105" s="13"/>
      <c r="O105" s="13">
        <v>2743</v>
      </c>
      <c r="P105" s="14">
        <f t="shared" si="6"/>
        <v>18.55</v>
      </c>
      <c r="Q105" s="15">
        <f t="shared" si="7"/>
        <v>92.75</v>
      </c>
      <c r="R105" s="15" t="s">
        <v>205</v>
      </c>
      <c r="S105" s="15"/>
      <c r="T105" s="15">
        <f>+Tabel2[[#This Row],[stk 5 dagar buffara]]*Tabel2[[#This Row],[inkøbspris pr stk]]</f>
        <v>0</v>
      </c>
    </row>
    <row r="106" spans="1:20" ht="20.100000000000001" customHeight="1" x14ac:dyDescent="0.25">
      <c r="A106" s="1"/>
      <c r="B106" s="7" t="s">
        <v>158</v>
      </c>
      <c r="C106" s="3">
        <v>1263</v>
      </c>
      <c r="D106" s="3">
        <v>1212</v>
      </c>
      <c r="E106" s="3">
        <v>1153</v>
      </c>
      <c r="F106" s="3">
        <v>1153</v>
      </c>
      <c r="G106" s="3">
        <v>1289</v>
      </c>
      <c r="H106" s="3">
        <v>1115</v>
      </c>
      <c r="I106" s="13">
        <v>1032</v>
      </c>
      <c r="J106" s="13">
        <v>753</v>
      </c>
      <c r="K106" s="13"/>
      <c r="L106" s="13"/>
      <c r="M106" s="13"/>
      <c r="N106" s="13"/>
      <c r="O106" s="13">
        <v>8970</v>
      </c>
      <c r="P106" s="14">
        <f t="shared" si="6"/>
        <v>51.6</v>
      </c>
      <c r="Q106" s="15">
        <f t="shared" si="7"/>
        <v>258</v>
      </c>
      <c r="R106" s="15" t="s">
        <v>205</v>
      </c>
      <c r="S106" s="15"/>
      <c r="T106" s="15">
        <f>+Tabel2[[#This Row],[stk 5 dagar buffara]]*Tabel2[[#This Row],[inkøbspris pr stk]]</f>
        <v>0</v>
      </c>
    </row>
    <row r="107" spans="1:20" ht="20.100000000000001" customHeight="1" x14ac:dyDescent="0.25">
      <c r="A107" s="1"/>
      <c r="B107" s="7" t="s">
        <v>159</v>
      </c>
      <c r="C107" s="3">
        <v>362</v>
      </c>
      <c r="D107" s="3">
        <v>292</v>
      </c>
      <c r="E107" s="3">
        <v>451</v>
      </c>
      <c r="F107" s="3">
        <v>409</v>
      </c>
      <c r="G107" s="3">
        <v>212</v>
      </c>
      <c r="H107" s="3">
        <v>48</v>
      </c>
      <c r="I107" s="13">
        <v>8</v>
      </c>
      <c r="J107" s="13">
        <v>8</v>
      </c>
      <c r="K107" s="13"/>
      <c r="L107" s="13"/>
      <c r="M107" s="13"/>
      <c r="N107" s="13"/>
      <c r="O107" s="13">
        <v>1790</v>
      </c>
      <c r="P107" s="14">
        <f t="shared" si="6"/>
        <v>0.4</v>
      </c>
      <c r="Q107" s="15">
        <f t="shared" si="7"/>
        <v>2</v>
      </c>
      <c r="R107" s="15" t="s">
        <v>205</v>
      </c>
      <c r="S107" s="15"/>
      <c r="T107" s="15">
        <f>+Tabel2[[#This Row],[stk 5 dagar buffara]]*Tabel2[[#This Row],[inkøbspris pr stk]]</f>
        <v>0</v>
      </c>
    </row>
    <row r="108" spans="1:20" ht="20.100000000000001" customHeight="1" x14ac:dyDescent="0.25">
      <c r="A108" s="1"/>
      <c r="B108" s="7" t="s">
        <v>160</v>
      </c>
      <c r="C108" s="3">
        <v>6299</v>
      </c>
      <c r="D108" s="3">
        <v>5740</v>
      </c>
      <c r="E108" s="3">
        <v>5906</v>
      </c>
      <c r="F108" s="3">
        <v>5270</v>
      </c>
      <c r="G108" s="3">
        <v>6285</v>
      </c>
      <c r="H108" s="3">
        <v>5170</v>
      </c>
      <c r="I108" s="13">
        <v>5382</v>
      </c>
      <c r="J108" s="13">
        <v>3663</v>
      </c>
      <c r="K108" s="13"/>
      <c r="L108" s="13"/>
      <c r="M108" s="13"/>
      <c r="N108" s="13"/>
      <c r="O108" s="13">
        <v>43715</v>
      </c>
      <c r="P108" s="14">
        <f t="shared" si="6"/>
        <v>269.10000000000002</v>
      </c>
      <c r="Q108" s="15">
        <f t="shared" si="7"/>
        <v>1345.5</v>
      </c>
      <c r="R108" s="15" t="s">
        <v>205</v>
      </c>
      <c r="S108" s="15"/>
      <c r="T108" s="15">
        <f>+Tabel2[[#This Row],[stk 5 dagar buffara]]*Tabel2[[#This Row],[inkøbspris pr stk]]</f>
        <v>0</v>
      </c>
    </row>
    <row r="109" spans="1:20" ht="20.100000000000001" customHeight="1" x14ac:dyDescent="0.25">
      <c r="A109" s="1"/>
      <c r="B109" s="7" t="s">
        <v>161</v>
      </c>
      <c r="C109" s="3">
        <v>870</v>
      </c>
      <c r="D109" s="3">
        <v>786</v>
      </c>
      <c r="E109" s="3">
        <v>959</v>
      </c>
      <c r="F109" s="3">
        <v>723</v>
      </c>
      <c r="G109" s="3">
        <v>882</v>
      </c>
      <c r="H109" s="3">
        <v>735</v>
      </c>
      <c r="I109" s="13">
        <v>733</v>
      </c>
      <c r="J109" s="13">
        <v>502</v>
      </c>
      <c r="K109" s="13"/>
      <c r="L109" s="13"/>
      <c r="M109" s="13"/>
      <c r="N109" s="13"/>
      <c r="O109" s="13">
        <v>6190</v>
      </c>
      <c r="P109" s="14">
        <f t="shared" si="6"/>
        <v>36.65</v>
      </c>
      <c r="Q109" s="15">
        <f t="shared" si="7"/>
        <v>183.25</v>
      </c>
      <c r="R109" s="15" t="s">
        <v>205</v>
      </c>
      <c r="S109" s="15"/>
      <c r="T109" s="15">
        <f>+Tabel2[[#This Row],[stk 5 dagar buffara]]*Tabel2[[#This Row],[inkøbspris pr stk]]</f>
        <v>0</v>
      </c>
    </row>
    <row r="110" spans="1:20" ht="20.100000000000001" customHeight="1" x14ac:dyDescent="0.25">
      <c r="A110" s="1"/>
      <c r="B110" s="7" t="s">
        <v>162</v>
      </c>
      <c r="C110" s="3">
        <v>1000</v>
      </c>
      <c r="D110" s="3">
        <v>1300</v>
      </c>
      <c r="E110" s="3">
        <v>1350</v>
      </c>
      <c r="F110" s="3">
        <v>700</v>
      </c>
      <c r="G110" s="3">
        <v>1200</v>
      </c>
      <c r="H110" s="3">
        <v>1050</v>
      </c>
      <c r="I110" s="13">
        <v>1300</v>
      </c>
      <c r="J110" s="13">
        <v>1050</v>
      </c>
      <c r="K110" s="13"/>
      <c r="L110" s="13"/>
      <c r="M110" s="13"/>
      <c r="N110" s="13"/>
      <c r="O110" s="13">
        <v>8950</v>
      </c>
      <c r="P110" s="14">
        <f t="shared" si="6"/>
        <v>65</v>
      </c>
      <c r="Q110" s="15">
        <f t="shared" si="7"/>
        <v>325</v>
      </c>
      <c r="R110" s="15" t="s">
        <v>205</v>
      </c>
      <c r="S110" s="15"/>
      <c r="T110" s="15">
        <f>+Tabel2[[#This Row],[stk 5 dagar buffara]]*Tabel2[[#This Row],[inkøbspris pr stk]]</f>
        <v>0</v>
      </c>
    </row>
    <row r="111" spans="1:20" ht="20.100000000000001" customHeight="1" x14ac:dyDescent="0.25">
      <c r="A111" s="1"/>
      <c r="B111" s="7" t="s">
        <v>163</v>
      </c>
      <c r="C111" s="3">
        <v>592</v>
      </c>
      <c r="D111" s="3">
        <v>520</v>
      </c>
      <c r="E111" s="3">
        <v>591</v>
      </c>
      <c r="F111" s="3">
        <v>482</v>
      </c>
      <c r="G111" s="3">
        <v>476</v>
      </c>
      <c r="H111" s="3">
        <v>485</v>
      </c>
      <c r="I111" s="13">
        <v>551</v>
      </c>
      <c r="J111" s="13">
        <v>287</v>
      </c>
      <c r="K111" s="13"/>
      <c r="L111" s="13"/>
      <c r="M111" s="13"/>
      <c r="N111" s="13"/>
      <c r="O111" s="13">
        <v>3984</v>
      </c>
      <c r="P111" s="14">
        <f t="shared" si="6"/>
        <v>27.55</v>
      </c>
      <c r="Q111" s="15">
        <f t="shared" si="7"/>
        <v>137.75</v>
      </c>
      <c r="R111" s="15" t="s">
        <v>205</v>
      </c>
      <c r="S111" s="15"/>
      <c r="T111" s="15">
        <f>+Tabel2[[#This Row],[stk 5 dagar buffara]]*Tabel2[[#This Row],[inkøbspris pr stk]]</f>
        <v>0</v>
      </c>
    </row>
    <row r="112" spans="1:20" ht="20.100000000000001" customHeight="1" x14ac:dyDescent="0.25">
      <c r="A112" s="1"/>
      <c r="B112" s="7" t="s">
        <v>164</v>
      </c>
      <c r="C112" s="3">
        <v>65</v>
      </c>
      <c r="D112" s="3">
        <v>75</v>
      </c>
      <c r="E112" s="3">
        <v>78</v>
      </c>
      <c r="F112" s="3">
        <v>66</v>
      </c>
      <c r="G112" s="3">
        <v>76</v>
      </c>
      <c r="H112" s="3">
        <v>58</v>
      </c>
      <c r="I112" s="13">
        <v>67</v>
      </c>
      <c r="J112" s="13">
        <v>38</v>
      </c>
      <c r="K112" s="13"/>
      <c r="L112" s="13"/>
      <c r="M112" s="13"/>
      <c r="N112" s="13"/>
      <c r="O112" s="13">
        <v>523</v>
      </c>
      <c r="P112" s="14">
        <f t="shared" si="6"/>
        <v>3.35</v>
      </c>
      <c r="Q112" s="15">
        <f t="shared" si="7"/>
        <v>16.75</v>
      </c>
      <c r="R112" s="15" t="s">
        <v>205</v>
      </c>
      <c r="S112" s="15"/>
      <c r="T112" s="15">
        <f>+Tabel2[[#This Row],[stk 5 dagar buffara]]*Tabel2[[#This Row],[inkøbspris pr stk]]</f>
        <v>0</v>
      </c>
    </row>
    <row r="113" spans="1:20" ht="20.100000000000001" customHeight="1" x14ac:dyDescent="0.25">
      <c r="A113" s="1"/>
      <c r="B113" s="7" t="s">
        <v>165</v>
      </c>
      <c r="C113" s="3">
        <v>150</v>
      </c>
      <c r="D113" s="3">
        <v>189</v>
      </c>
      <c r="E113" s="3">
        <v>160</v>
      </c>
      <c r="F113" s="3">
        <v>132</v>
      </c>
      <c r="G113" s="3">
        <v>69</v>
      </c>
      <c r="H113" s="3">
        <v>112</v>
      </c>
      <c r="I113" s="13">
        <v>153</v>
      </c>
      <c r="J113" s="13">
        <v>93</v>
      </c>
      <c r="K113" s="13"/>
      <c r="L113" s="13"/>
      <c r="M113" s="13"/>
      <c r="N113" s="13"/>
      <c r="O113" s="13">
        <v>1058</v>
      </c>
      <c r="P113" s="14">
        <f t="shared" si="6"/>
        <v>7.65</v>
      </c>
      <c r="Q113" s="15">
        <f t="shared" si="7"/>
        <v>38.25</v>
      </c>
      <c r="R113" s="15" t="s">
        <v>205</v>
      </c>
      <c r="S113" s="15"/>
      <c r="T113" s="15">
        <f>+Tabel2[[#This Row],[stk 5 dagar buffara]]*Tabel2[[#This Row],[inkøbspris pr stk]]</f>
        <v>0</v>
      </c>
    </row>
    <row r="114" spans="1:20" ht="20.100000000000001" customHeight="1" x14ac:dyDescent="0.25">
      <c r="A114" s="1"/>
      <c r="B114" s="7" t="s">
        <v>166</v>
      </c>
      <c r="C114" s="3">
        <v>45</v>
      </c>
      <c r="D114" s="3">
        <v>44</v>
      </c>
      <c r="E114" s="3">
        <v>37</v>
      </c>
      <c r="F114" s="3">
        <v>32</v>
      </c>
      <c r="G114" s="3">
        <v>38</v>
      </c>
      <c r="H114" s="3">
        <v>33</v>
      </c>
      <c r="I114" s="13">
        <v>27</v>
      </c>
      <c r="J114" s="13">
        <v>12</v>
      </c>
      <c r="K114" s="13"/>
      <c r="L114" s="13"/>
      <c r="M114" s="13"/>
      <c r="N114" s="13"/>
      <c r="O114" s="13">
        <v>268</v>
      </c>
      <c r="P114" s="14">
        <f t="shared" si="6"/>
        <v>1.35</v>
      </c>
      <c r="Q114" s="15">
        <f t="shared" si="7"/>
        <v>6.75</v>
      </c>
      <c r="R114" s="15" t="s">
        <v>205</v>
      </c>
      <c r="S114" s="15"/>
      <c r="T114" s="15">
        <f>+Tabel2[[#This Row],[stk 5 dagar buffara]]*Tabel2[[#This Row],[inkøbspris pr stk]]</f>
        <v>0</v>
      </c>
    </row>
    <row r="115" spans="1:20" ht="20.100000000000001" hidden="1" customHeight="1" x14ac:dyDescent="0.25">
      <c r="A115" s="1"/>
      <c r="B115" s="7" t="s">
        <v>167</v>
      </c>
      <c r="C115" s="3">
        <v>70</v>
      </c>
      <c r="D115" s="3">
        <v>93</v>
      </c>
      <c r="E115" s="3">
        <v>72</v>
      </c>
      <c r="F115" s="3">
        <v>56</v>
      </c>
      <c r="G115" s="3">
        <v>33</v>
      </c>
      <c r="H115" s="3">
        <v>12</v>
      </c>
      <c r="I115" s="13"/>
      <c r="J115" s="13">
        <v>14</v>
      </c>
      <c r="K115" s="13"/>
      <c r="L115" s="13"/>
      <c r="M115" s="13"/>
      <c r="N115" s="13"/>
      <c r="O115" s="13">
        <v>350</v>
      </c>
      <c r="P115" s="14">
        <f t="shared" si="6"/>
        <v>0</v>
      </c>
      <c r="Q115" s="15">
        <f t="shared" si="7"/>
        <v>0</v>
      </c>
      <c r="R115" s="15" t="s">
        <v>205</v>
      </c>
      <c r="S115" s="15"/>
      <c r="T115" s="15">
        <f>+Tabel2[[#This Row],[stk 5 dagar buffara]]*Tabel2[[#This Row],[inkøbspris pr stk]]</f>
        <v>0</v>
      </c>
    </row>
    <row r="116" spans="1:20" ht="20.100000000000001" customHeight="1" x14ac:dyDescent="0.25">
      <c r="A116" s="1"/>
      <c r="B116" s="7" t="s">
        <v>168</v>
      </c>
      <c r="C116" s="3">
        <v>631</v>
      </c>
      <c r="D116" s="3">
        <v>509</v>
      </c>
      <c r="E116" s="3">
        <v>615</v>
      </c>
      <c r="F116" s="3">
        <v>500</v>
      </c>
      <c r="G116" s="3">
        <v>661</v>
      </c>
      <c r="H116" s="3">
        <v>452</v>
      </c>
      <c r="I116" s="13">
        <v>626</v>
      </c>
      <c r="J116" s="13">
        <v>342</v>
      </c>
      <c r="K116" s="13"/>
      <c r="L116" s="13"/>
      <c r="M116" s="13"/>
      <c r="N116" s="13"/>
      <c r="O116" s="13">
        <v>4336</v>
      </c>
      <c r="P116" s="14">
        <f t="shared" si="6"/>
        <v>31.3</v>
      </c>
      <c r="Q116" s="15">
        <f t="shared" si="7"/>
        <v>156.5</v>
      </c>
      <c r="R116" s="15" t="s">
        <v>205</v>
      </c>
      <c r="S116" s="15"/>
      <c r="T116" s="15">
        <f>+Tabel2[[#This Row],[stk 5 dagar buffara]]*Tabel2[[#This Row],[inkøbspris pr stk]]</f>
        <v>0</v>
      </c>
    </row>
    <row r="117" spans="1:20" ht="20.100000000000001" customHeight="1" x14ac:dyDescent="0.25">
      <c r="A117" s="1"/>
      <c r="B117" s="7" t="s">
        <v>169</v>
      </c>
      <c r="C117" s="3">
        <v>1279</v>
      </c>
      <c r="D117" s="3">
        <v>1095</v>
      </c>
      <c r="E117" s="3">
        <v>1289</v>
      </c>
      <c r="F117" s="3">
        <v>1011</v>
      </c>
      <c r="G117" s="3">
        <v>1251</v>
      </c>
      <c r="H117" s="3">
        <v>1268</v>
      </c>
      <c r="I117" s="13">
        <v>1104</v>
      </c>
      <c r="J117" s="13">
        <v>712</v>
      </c>
      <c r="K117" s="13"/>
      <c r="L117" s="13"/>
      <c r="M117" s="13"/>
      <c r="N117" s="13"/>
      <c r="O117" s="13">
        <v>9009</v>
      </c>
      <c r="P117" s="14">
        <f t="shared" si="6"/>
        <v>55.2</v>
      </c>
      <c r="Q117" s="15">
        <f t="shared" si="7"/>
        <v>276</v>
      </c>
      <c r="R117" s="15" t="s">
        <v>205</v>
      </c>
      <c r="S117" s="15"/>
      <c r="T117" s="15">
        <f>+Tabel2[[#This Row],[stk 5 dagar buffara]]*Tabel2[[#This Row],[inkøbspris pr stk]]</f>
        <v>0</v>
      </c>
    </row>
    <row r="118" spans="1:20" ht="20.100000000000001" customHeight="1" x14ac:dyDescent="0.25">
      <c r="A118" s="1"/>
      <c r="B118" s="7" t="s">
        <v>170</v>
      </c>
      <c r="C118" s="3">
        <v>1</v>
      </c>
      <c r="D118" s="3">
        <v>1</v>
      </c>
      <c r="E118" s="3"/>
      <c r="F118" s="3">
        <v>2</v>
      </c>
      <c r="G118" s="3">
        <v>1</v>
      </c>
      <c r="H118" s="3"/>
      <c r="I118" s="13">
        <v>1</v>
      </c>
      <c r="J118" s="13"/>
      <c r="K118" s="13"/>
      <c r="L118" s="13"/>
      <c r="M118" s="13"/>
      <c r="N118" s="13"/>
      <c r="O118" s="13">
        <v>6</v>
      </c>
      <c r="P118" s="14">
        <f t="shared" si="6"/>
        <v>0.05</v>
      </c>
      <c r="Q118" s="15">
        <f t="shared" si="7"/>
        <v>0.25</v>
      </c>
      <c r="R118" s="15" t="s">
        <v>205</v>
      </c>
      <c r="S118" s="15"/>
      <c r="T118" s="15">
        <f>+Tabel2[[#This Row],[stk 5 dagar buffara]]*Tabel2[[#This Row],[inkøbspris pr stk]]</f>
        <v>0</v>
      </c>
    </row>
    <row r="119" spans="1:20" ht="20.100000000000001" customHeight="1" x14ac:dyDescent="0.25">
      <c r="A119" s="1"/>
      <c r="B119" s="7" t="s">
        <v>171</v>
      </c>
      <c r="C119" s="3">
        <v>27</v>
      </c>
      <c r="D119" s="3">
        <v>24</v>
      </c>
      <c r="E119" s="3">
        <v>30</v>
      </c>
      <c r="F119" s="3">
        <v>24</v>
      </c>
      <c r="G119" s="3">
        <v>25</v>
      </c>
      <c r="H119" s="3">
        <v>21</v>
      </c>
      <c r="I119" s="13">
        <v>18</v>
      </c>
      <c r="J119" s="13">
        <v>14</v>
      </c>
      <c r="K119" s="13"/>
      <c r="L119" s="13"/>
      <c r="M119" s="13"/>
      <c r="N119" s="13"/>
      <c r="O119" s="13">
        <v>183</v>
      </c>
      <c r="P119" s="14">
        <f t="shared" si="6"/>
        <v>0.9</v>
      </c>
      <c r="Q119" s="15">
        <f t="shared" si="7"/>
        <v>4.5</v>
      </c>
      <c r="R119" s="15" t="s">
        <v>205</v>
      </c>
      <c r="S119" s="15"/>
      <c r="T119" s="15">
        <f>+Tabel2[[#This Row],[stk 5 dagar buffara]]*Tabel2[[#This Row],[inkøbspris pr stk]]</f>
        <v>0</v>
      </c>
    </row>
    <row r="120" spans="1:20" ht="20.100000000000001" customHeight="1" x14ac:dyDescent="0.25">
      <c r="A120" s="1"/>
      <c r="B120" s="7" t="s">
        <v>172</v>
      </c>
      <c r="C120" s="3">
        <v>10</v>
      </c>
      <c r="D120" s="3">
        <v>11</v>
      </c>
      <c r="E120" s="3">
        <v>19</v>
      </c>
      <c r="F120" s="3">
        <v>29</v>
      </c>
      <c r="G120" s="3">
        <v>20</v>
      </c>
      <c r="H120" s="3">
        <v>33</v>
      </c>
      <c r="I120" s="13">
        <v>12</v>
      </c>
      <c r="J120" s="13">
        <v>5</v>
      </c>
      <c r="K120" s="13"/>
      <c r="L120" s="13"/>
      <c r="M120" s="13"/>
      <c r="N120" s="13"/>
      <c r="O120" s="13">
        <v>139</v>
      </c>
      <c r="P120" s="14">
        <f t="shared" si="6"/>
        <v>0.6</v>
      </c>
      <c r="Q120" s="15">
        <f t="shared" si="7"/>
        <v>3</v>
      </c>
      <c r="R120" s="15" t="s">
        <v>205</v>
      </c>
      <c r="S120" s="15"/>
      <c r="T120" s="15">
        <f>+Tabel2[[#This Row],[stk 5 dagar buffara]]*Tabel2[[#This Row],[inkøbspris pr stk]]</f>
        <v>0</v>
      </c>
    </row>
    <row r="121" spans="1:20" ht="20.100000000000001" customHeight="1" x14ac:dyDescent="0.25">
      <c r="A121" s="1"/>
      <c r="B121" s="7" t="s">
        <v>173</v>
      </c>
      <c r="C121" s="3">
        <v>8</v>
      </c>
      <c r="D121" s="3">
        <v>13</v>
      </c>
      <c r="E121" s="3">
        <v>15</v>
      </c>
      <c r="F121" s="3">
        <v>25</v>
      </c>
      <c r="G121" s="3">
        <v>19</v>
      </c>
      <c r="H121" s="3">
        <v>25</v>
      </c>
      <c r="I121" s="13">
        <v>10</v>
      </c>
      <c r="J121" s="13"/>
      <c r="K121" s="13"/>
      <c r="L121" s="13"/>
      <c r="M121" s="13"/>
      <c r="N121" s="13"/>
      <c r="O121" s="13">
        <v>115</v>
      </c>
      <c r="P121" s="14">
        <f t="shared" si="6"/>
        <v>0.5</v>
      </c>
      <c r="Q121" s="15">
        <f t="shared" si="7"/>
        <v>2.5</v>
      </c>
      <c r="R121" s="15" t="s">
        <v>205</v>
      </c>
      <c r="S121" s="15"/>
      <c r="T121" s="15">
        <f>+Tabel2[[#This Row],[stk 5 dagar buffara]]*Tabel2[[#This Row],[inkøbspris pr stk]]</f>
        <v>0</v>
      </c>
    </row>
    <row r="122" spans="1:20" ht="20.100000000000001" customHeight="1" x14ac:dyDescent="0.25">
      <c r="A122" s="1"/>
      <c r="B122" s="7" t="s">
        <v>174</v>
      </c>
      <c r="C122" s="3">
        <v>14</v>
      </c>
      <c r="D122" s="3">
        <v>12</v>
      </c>
      <c r="E122" s="3">
        <v>57</v>
      </c>
      <c r="F122" s="3">
        <v>28</v>
      </c>
      <c r="G122" s="3">
        <v>36</v>
      </c>
      <c r="H122" s="3">
        <v>23</v>
      </c>
      <c r="I122" s="13">
        <v>22</v>
      </c>
      <c r="J122" s="13">
        <v>1</v>
      </c>
      <c r="K122" s="13"/>
      <c r="L122" s="13"/>
      <c r="M122" s="13"/>
      <c r="N122" s="13"/>
      <c r="O122" s="13">
        <v>193</v>
      </c>
      <c r="P122" s="14">
        <f t="shared" si="6"/>
        <v>1.1000000000000001</v>
      </c>
      <c r="Q122" s="15">
        <f t="shared" si="7"/>
        <v>5.5</v>
      </c>
      <c r="R122" s="15" t="s">
        <v>205</v>
      </c>
      <c r="S122" s="15"/>
      <c r="T122" s="15">
        <f>+Tabel2[[#This Row],[stk 5 dagar buffara]]*Tabel2[[#This Row],[inkøbspris pr stk]]</f>
        <v>0</v>
      </c>
    </row>
    <row r="123" spans="1:20" ht="20.100000000000001" customHeight="1" x14ac:dyDescent="0.25">
      <c r="A123" s="1"/>
      <c r="B123" s="7" t="s">
        <v>175</v>
      </c>
      <c r="C123" s="3">
        <v>106</v>
      </c>
      <c r="D123" s="3">
        <v>94</v>
      </c>
      <c r="E123" s="3">
        <v>102</v>
      </c>
      <c r="F123" s="3">
        <v>103</v>
      </c>
      <c r="G123" s="3">
        <v>68</v>
      </c>
      <c r="H123" s="3">
        <v>75</v>
      </c>
      <c r="I123" s="13">
        <v>108</v>
      </c>
      <c r="J123" s="13">
        <v>76</v>
      </c>
      <c r="K123" s="13"/>
      <c r="L123" s="13"/>
      <c r="M123" s="13"/>
      <c r="N123" s="13"/>
      <c r="O123" s="13">
        <v>732</v>
      </c>
      <c r="P123" s="14">
        <f t="shared" si="6"/>
        <v>5.4</v>
      </c>
      <c r="Q123" s="15">
        <f t="shared" si="7"/>
        <v>27</v>
      </c>
      <c r="R123" s="15" t="s">
        <v>205</v>
      </c>
      <c r="S123" s="15"/>
      <c r="T123" s="15">
        <f>+Tabel2[[#This Row],[stk 5 dagar buffara]]*Tabel2[[#This Row],[inkøbspris pr stk]]</f>
        <v>0</v>
      </c>
    </row>
    <row r="124" spans="1:20" ht="20.100000000000001" customHeight="1" x14ac:dyDescent="0.25">
      <c r="A124" s="1"/>
      <c r="B124" s="7" t="s">
        <v>176</v>
      </c>
      <c r="C124" s="3">
        <v>30</v>
      </c>
      <c r="D124" s="3">
        <v>33</v>
      </c>
      <c r="E124" s="3">
        <v>42</v>
      </c>
      <c r="F124" s="3">
        <v>33</v>
      </c>
      <c r="G124" s="3">
        <v>37</v>
      </c>
      <c r="H124" s="3">
        <v>28</v>
      </c>
      <c r="I124" s="13">
        <v>18</v>
      </c>
      <c r="J124" s="13">
        <v>12</v>
      </c>
      <c r="K124" s="13"/>
      <c r="L124" s="13"/>
      <c r="M124" s="13"/>
      <c r="N124" s="13"/>
      <c r="O124" s="13">
        <v>233</v>
      </c>
      <c r="P124" s="14">
        <f t="shared" si="6"/>
        <v>0.9</v>
      </c>
      <c r="Q124" s="15">
        <f t="shared" si="7"/>
        <v>4.5</v>
      </c>
      <c r="R124" s="15" t="s">
        <v>205</v>
      </c>
      <c r="S124" s="15"/>
      <c r="T124" s="15">
        <f>+Tabel2[[#This Row],[stk 5 dagar buffara]]*Tabel2[[#This Row],[inkøbspris pr stk]]</f>
        <v>0</v>
      </c>
    </row>
    <row r="125" spans="1:20" ht="20.100000000000001" customHeight="1" x14ac:dyDescent="0.25">
      <c r="A125" s="1"/>
      <c r="B125" s="7" t="s">
        <v>177</v>
      </c>
      <c r="C125" s="3">
        <v>1958</v>
      </c>
      <c r="D125" s="3">
        <v>1759</v>
      </c>
      <c r="E125" s="3">
        <v>1948</v>
      </c>
      <c r="F125" s="3">
        <v>1832</v>
      </c>
      <c r="G125" s="3">
        <v>1923</v>
      </c>
      <c r="H125" s="3">
        <v>1972</v>
      </c>
      <c r="I125" s="13">
        <v>1616</v>
      </c>
      <c r="J125" s="13">
        <v>1456</v>
      </c>
      <c r="K125" s="13"/>
      <c r="L125" s="13"/>
      <c r="M125" s="13"/>
      <c r="N125" s="13"/>
      <c r="O125" s="13">
        <v>14464</v>
      </c>
      <c r="P125" s="14">
        <f t="shared" si="6"/>
        <v>80.8</v>
      </c>
      <c r="Q125" s="15">
        <f t="shared" si="7"/>
        <v>404</v>
      </c>
      <c r="R125" s="15" t="s">
        <v>205</v>
      </c>
      <c r="S125" s="15"/>
      <c r="T125" s="15">
        <f>+Tabel2[[#This Row],[stk 5 dagar buffara]]*Tabel2[[#This Row],[inkøbspris pr stk]]</f>
        <v>0</v>
      </c>
    </row>
    <row r="126" spans="1:20" ht="20.100000000000001" customHeight="1" x14ac:dyDescent="0.25">
      <c r="A126" s="1"/>
      <c r="B126" s="7" t="s">
        <v>178</v>
      </c>
      <c r="C126" s="3">
        <v>18</v>
      </c>
      <c r="D126" s="3">
        <v>16</v>
      </c>
      <c r="E126" s="3">
        <v>122</v>
      </c>
      <c r="F126" s="3">
        <v>67</v>
      </c>
      <c r="G126" s="3">
        <v>109</v>
      </c>
      <c r="H126" s="3">
        <v>79</v>
      </c>
      <c r="I126" s="13">
        <v>27</v>
      </c>
      <c r="J126" s="13">
        <v>74</v>
      </c>
      <c r="K126" s="13"/>
      <c r="L126" s="13"/>
      <c r="M126" s="13"/>
      <c r="N126" s="13"/>
      <c r="O126" s="13">
        <v>512</v>
      </c>
      <c r="P126" s="14">
        <f t="shared" si="6"/>
        <v>1.35</v>
      </c>
      <c r="Q126" s="15">
        <f t="shared" si="7"/>
        <v>6.75</v>
      </c>
      <c r="R126" s="15" t="s">
        <v>205</v>
      </c>
      <c r="S126" s="15"/>
      <c r="T126" s="15">
        <f>+Tabel2[[#This Row],[stk 5 dagar buffara]]*Tabel2[[#This Row],[inkøbspris pr stk]]</f>
        <v>0</v>
      </c>
    </row>
    <row r="127" spans="1:20" ht="20.100000000000001" customHeight="1" x14ac:dyDescent="0.25">
      <c r="A127" s="1"/>
      <c r="B127" s="7" t="s">
        <v>179</v>
      </c>
      <c r="C127" s="3">
        <v>59</v>
      </c>
      <c r="D127" s="3">
        <v>37</v>
      </c>
      <c r="E127" s="3">
        <v>29</v>
      </c>
      <c r="F127" s="3">
        <v>34</v>
      </c>
      <c r="G127" s="3">
        <v>9</v>
      </c>
      <c r="H127" s="3">
        <v>33</v>
      </c>
      <c r="I127" s="13">
        <v>44</v>
      </c>
      <c r="J127" s="13">
        <v>20</v>
      </c>
      <c r="K127" s="13"/>
      <c r="L127" s="13"/>
      <c r="M127" s="13"/>
      <c r="N127" s="13"/>
      <c r="O127" s="13">
        <v>265</v>
      </c>
      <c r="P127" s="14">
        <f t="shared" si="6"/>
        <v>2.2000000000000002</v>
      </c>
      <c r="Q127" s="15">
        <f t="shared" si="7"/>
        <v>11</v>
      </c>
      <c r="R127" s="15" t="s">
        <v>205</v>
      </c>
      <c r="S127" s="15"/>
      <c r="T127" s="15">
        <f>+Tabel2[[#This Row],[stk 5 dagar buffara]]*Tabel2[[#This Row],[inkøbspris pr stk]]</f>
        <v>0</v>
      </c>
    </row>
    <row r="128" spans="1:20" ht="20.100000000000001" customHeight="1" x14ac:dyDescent="0.25">
      <c r="A128" s="1"/>
      <c r="B128" s="7" t="s">
        <v>180</v>
      </c>
      <c r="C128" s="3">
        <v>21</v>
      </c>
      <c r="D128" s="3">
        <v>16</v>
      </c>
      <c r="E128" s="3">
        <v>7</v>
      </c>
      <c r="F128" s="3">
        <v>11</v>
      </c>
      <c r="G128" s="3">
        <v>39</v>
      </c>
      <c r="H128" s="3">
        <v>20</v>
      </c>
      <c r="I128" s="13">
        <v>15</v>
      </c>
      <c r="J128" s="13">
        <v>7</v>
      </c>
      <c r="K128" s="13"/>
      <c r="L128" s="13"/>
      <c r="M128" s="13"/>
      <c r="N128" s="13"/>
      <c r="O128" s="13">
        <v>136</v>
      </c>
      <c r="P128" s="14">
        <f t="shared" si="6"/>
        <v>0.75</v>
      </c>
      <c r="Q128" s="15">
        <f t="shared" si="7"/>
        <v>3.75</v>
      </c>
      <c r="R128" s="15" t="s">
        <v>205</v>
      </c>
      <c r="S128" s="15"/>
      <c r="T128" s="15">
        <f>+Tabel2[[#This Row],[stk 5 dagar buffara]]*Tabel2[[#This Row],[inkøbspris pr stk]]</f>
        <v>0</v>
      </c>
    </row>
    <row r="129" spans="1:20" ht="20.100000000000001" customHeight="1" x14ac:dyDescent="0.25">
      <c r="A129" s="1"/>
      <c r="B129" s="7" t="s">
        <v>181</v>
      </c>
      <c r="C129" s="3">
        <v>21</v>
      </c>
      <c r="D129" s="3">
        <v>17</v>
      </c>
      <c r="E129" s="3">
        <v>12</v>
      </c>
      <c r="F129" s="3">
        <v>14</v>
      </c>
      <c r="G129" s="3">
        <v>11</v>
      </c>
      <c r="H129" s="3">
        <v>12</v>
      </c>
      <c r="I129" s="13">
        <v>15</v>
      </c>
      <c r="J129" s="13">
        <v>7</v>
      </c>
      <c r="K129" s="13"/>
      <c r="L129" s="13"/>
      <c r="M129" s="13"/>
      <c r="N129" s="13"/>
      <c r="O129" s="13">
        <v>109</v>
      </c>
      <c r="P129" s="14">
        <f t="shared" si="6"/>
        <v>0.75</v>
      </c>
      <c r="Q129" s="15">
        <f t="shared" si="7"/>
        <v>3.75</v>
      </c>
      <c r="R129" s="15" t="s">
        <v>205</v>
      </c>
      <c r="S129" s="15"/>
      <c r="T129" s="15">
        <f>+Tabel2[[#This Row],[stk 5 dagar buffara]]*Tabel2[[#This Row],[inkøbspris pr stk]]</f>
        <v>0</v>
      </c>
    </row>
    <row r="130" spans="1:20" ht="20.100000000000001" customHeight="1" x14ac:dyDescent="0.25">
      <c r="A130" s="1"/>
      <c r="B130" s="7" t="s">
        <v>182</v>
      </c>
      <c r="C130" s="3">
        <v>1</v>
      </c>
      <c r="D130" s="3"/>
      <c r="E130" s="3"/>
      <c r="F130" s="3"/>
      <c r="G130" s="3"/>
      <c r="H130" s="3"/>
      <c r="I130" s="13">
        <v>2</v>
      </c>
      <c r="J130" s="13"/>
      <c r="K130" s="13"/>
      <c r="L130" s="13"/>
      <c r="M130" s="13"/>
      <c r="N130" s="13"/>
      <c r="O130" s="13">
        <v>3</v>
      </c>
      <c r="P130" s="14">
        <f t="shared" si="6"/>
        <v>0.1</v>
      </c>
      <c r="Q130" s="15">
        <f t="shared" si="7"/>
        <v>0.5</v>
      </c>
      <c r="R130" s="15" t="s">
        <v>205</v>
      </c>
      <c r="S130" s="15"/>
      <c r="T130" s="15">
        <f>+Tabel2[[#This Row],[stk 5 dagar buffara]]*Tabel2[[#This Row],[inkøbspris pr stk]]</f>
        <v>0</v>
      </c>
    </row>
    <row r="131" spans="1:20" ht="20.100000000000001" hidden="1" customHeight="1" x14ac:dyDescent="0.25">
      <c r="A131" s="1"/>
      <c r="B131" s="7" t="s">
        <v>183</v>
      </c>
      <c r="C131" s="3"/>
      <c r="D131" s="3"/>
      <c r="E131" s="3">
        <v>3</v>
      </c>
      <c r="F131" s="3">
        <v>7</v>
      </c>
      <c r="G131" s="3"/>
      <c r="H131" s="3"/>
      <c r="I131" s="13"/>
      <c r="J131" s="13"/>
      <c r="K131" s="13"/>
      <c r="L131" s="13"/>
      <c r="M131" s="13"/>
      <c r="N131" s="13"/>
      <c r="O131" s="13">
        <v>10</v>
      </c>
      <c r="P131" s="14">
        <f t="shared" si="6"/>
        <v>0</v>
      </c>
      <c r="Q131" s="15">
        <f t="shared" si="7"/>
        <v>0</v>
      </c>
      <c r="R131" s="15" t="s">
        <v>205</v>
      </c>
      <c r="S131" s="15"/>
      <c r="T131" s="15">
        <f>+Tabel2[[#This Row],[stk 5 dagar buffara]]*Tabel2[[#This Row],[inkøbspris pr stk]]</f>
        <v>0</v>
      </c>
    </row>
    <row r="132" spans="1:20" ht="20.100000000000001" customHeight="1" x14ac:dyDescent="0.25">
      <c r="A132" s="1"/>
      <c r="B132" s="7" t="s">
        <v>184</v>
      </c>
      <c r="C132" s="3">
        <v>1</v>
      </c>
      <c r="D132" s="3">
        <v>9</v>
      </c>
      <c r="E132" s="3"/>
      <c r="F132" s="3"/>
      <c r="G132" s="3">
        <v>1</v>
      </c>
      <c r="H132" s="3">
        <v>2</v>
      </c>
      <c r="I132" s="13">
        <v>2</v>
      </c>
      <c r="J132" s="13">
        <v>1</v>
      </c>
      <c r="K132" s="13"/>
      <c r="L132" s="13"/>
      <c r="M132" s="13"/>
      <c r="N132" s="13"/>
      <c r="O132" s="13">
        <v>16</v>
      </c>
      <c r="P132" s="14">
        <f t="shared" ref="P132:P163" si="8">+I132/+$P$2</f>
        <v>0.1</v>
      </c>
      <c r="Q132" s="15">
        <f t="shared" ref="Q132:Q163" si="9">+P132*$Q$1</f>
        <v>0.5</v>
      </c>
      <c r="R132" s="15" t="s">
        <v>205</v>
      </c>
      <c r="S132" s="15"/>
      <c r="T132" s="15">
        <f>+Tabel2[[#This Row],[stk 5 dagar buffara]]*Tabel2[[#This Row],[inkøbspris pr stk]]</f>
        <v>0</v>
      </c>
    </row>
    <row r="133" spans="1:20" ht="20.100000000000001" customHeight="1" x14ac:dyDescent="0.25">
      <c r="A133" s="1"/>
      <c r="B133" s="7" t="s">
        <v>185</v>
      </c>
      <c r="C133" s="3">
        <v>1250</v>
      </c>
      <c r="D133" s="3">
        <v>1100</v>
      </c>
      <c r="E133" s="3">
        <v>1150</v>
      </c>
      <c r="F133" s="3">
        <v>1300</v>
      </c>
      <c r="G133" s="3">
        <v>1300</v>
      </c>
      <c r="H133" s="3">
        <v>1300</v>
      </c>
      <c r="I133" s="13">
        <v>1200</v>
      </c>
      <c r="J133" s="13">
        <v>1000</v>
      </c>
      <c r="K133" s="13"/>
      <c r="L133" s="13"/>
      <c r="M133" s="13"/>
      <c r="N133" s="13"/>
      <c r="O133" s="13">
        <v>9600</v>
      </c>
      <c r="P133" s="14">
        <f t="shared" si="8"/>
        <v>60</v>
      </c>
      <c r="Q133" s="15">
        <f t="shared" si="9"/>
        <v>300</v>
      </c>
      <c r="R133" s="15" t="s">
        <v>205</v>
      </c>
      <c r="S133" s="15"/>
      <c r="T133" s="15">
        <f>+Tabel2[[#This Row],[stk 5 dagar buffara]]*Tabel2[[#This Row],[inkøbspris pr stk]]</f>
        <v>0</v>
      </c>
    </row>
    <row r="134" spans="1:20" ht="20.100000000000001" customHeight="1" x14ac:dyDescent="0.25">
      <c r="A134" s="1"/>
      <c r="B134" s="7" t="s">
        <v>186</v>
      </c>
      <c r="C134" s="3">
        <v>650</v>
      </c>
      <c r="D134" s="3">
        <v>550</v>
      </c>
      <c r="E134" s="3">
        <v>650</v>
      </c>
      <c r="F134" s="3">
        <v>650</v>
      </c>
      <c r="G134" s="3">
        <v>650</v>
      </c>
      <c r="H134" s="3">
        <v>650</v>
      </c>
      <c r="I134" s="13">
        <v>600</v>
      </c>
      <c r="J134" s="13">
        <v>500</v>
      </c>
      <c r="K134" s="13"/>
      <c r="L134" s="13"/>
      <c r="M134" s="13"/>
      <c r="N134" s="13"/>
      <c r="O134" s="13">
        <v>4900</v>
      </c>
      <c r="P134" s="14">
        <f t="shared" si="8"/>
        <v>30</v>
      </c>
      <c r="Q134" s="15">
        <f t="shared" si="9"/>
        <v>150</v>
      </c>
      <c r="R134" s="15" t="s">
        <v>205</v>
      </c>
      <c r="S134" s="15"/>
      <c r="T134" s="15">
        <f>+Tabel2[[#This Row],[stk 5 dagar buffara]]*Tabel2[[#This Row],[inkøbspris pr stk]]</f>
        <v>0</v>
      </c>
    </row>
    <row r="135" spans="1:20" ht="20.100000000000001" customHeight="1" x14ac:dyDescent="0.25">
      <c r="A135" s="1"/>
      <c r="B135" s="7" t="s">
        <v>187</v>
      </c>
      <c r="C135" s="3">
        <v>82</v>
      </c>
      <c r="D135" s="3">
        <v>62</v>
      </c>
      <c r="E135" s="3">
        <v>86</v>
      </c>
      <c r="F135" s="3">
        <v>57</v>
      </c>
      <c r="G135" s="3">
        <v>79</v>
      </c>
      <c r="H135" s="3">
        <v>108</v>
      </c>
      <c r="I135" s="13">
        <v>151</v>
      </c>
      <c r="J135" s="13">
        <v>101</v>
      </c>
      <c r="K135" s="13"/>
      <c r="L135" s="13"/>
      <c r="M135" s="13"/>
      <c r="N135" s="13"/>
      <c r="O135" s="13">
        <v>726</v>
      </c>
      <c r="P135" s="14">
        <f t="shared" si="8"/>
        <v>7.55</v>
      </c>
      <c r="Q135" s="15">
        <f t="shared" si="9"/>
        <v>37.75</v>
      </c>
      <c r="R135" s="15" t="s">
        <v>205</v>
      </c>
      <c r="S135" s="15"/>
      <c r="T135" s="15">
        <f>+Tabel2[[#This Row],[stk 5 dagar buffara]]*Tabel2[[#This Row],[inkøbspris pr stk]]</f>
        <v>0</v>
      </c>
    </row>
    <row r="136" spans="1:20" ht="20.100000000000001" customHeight="1" x14ac:dyDescent="0.25">
      <c r="A136" s="1"/>
      <c r="B136" s="7" t="s">
        <v>188</v>
      </c>
      <c r="C136" s="3">
        <v>50</v>
      </c>
      <c r="D136" s="3">
        <v>66</v>
      </c>
      <c r="E136" s="3">
        <v>66</v>
      </c>
      <c r="F136" s="3">
        <v>37</v>
      </c>
      <c r="G136" s="3">
        <v>40</v>
      </c>
      <c r="H136" s="3">
        <v>153</v>
      </c>
      <c r="I136" s="13">
        <v>130</v>
      </c>
      <c r="J136" s="13">
        <v>76</v>
      </c>
      <c r="K136" s="13"/>
      <c r="L136" s="13"/>
      <c r="M136" s="13"/>
      <c r="N136" s="13"/>
      <c r="O136" s="13">
        <v>618</v>
      </c>
      <c r="P136" s="14">
        <f t="shared" si="8"/>
        <v>6.5</v>
      </c>
      <c r="Q136" s="15">
        <f t="shared" si="9"/>
        <v>32.5</v>
      </c>
      <c r="R136" s="15" t="s">
        <v>205</v>
      </c>
      <c r="S136" s="15"/>
      <c r="T136" s="15">
        <f>+Tabel2[[#This Row],[stk 5 dagar buffara]]*Tabel2[[#This Row],[inkøbspris pr stk]]</f>
        <v>0</v>
      </c>
    </row>
    <row r="137" spans="1:20" ht="20.100000000000001" hidden="1" customHeight="1" x14ac:dyDescent="0.25">
      <c r="A137" s="1"/>
      <c r="B137" s="7" t="s">
        <v>189</v>
      </c>
      <c r="C137" s="3">
        <v>3</v>
      </c>
      <c r="D137" s="3">
        <v>2</v>
      </c>
      <c r="E137" s="3">
        <v>6</v>
      </c>
      <c r="F137" s="3"/>
      <c r="G137" s="3"/>
      <c r="H137" s="3">
        <v>3</v>
      </c>
      <c r="I137" s="13"/>
      <c r="J137" s="13"/>
      <c r="K137" s="13"/>
      <c r="L137" s="13"/>
      <c r="M137" s="13"/>
      <c r="N137" s="13"/>
      <c r="O137" s="13">
        <v>14</v>
      </c>
      <c r="P137" s="14">
        <f t="shared" si="8"/>
        <v>0</v>
      </c>
      <c r="Q137" s="15">
        <f t="shared" si="9"/>
        <v>0</v>
      </c>
      <c r="R137" s="15" t="s">
        <v>205</v>
      </c>
      <c r="S137" s="15"/>
      <c r="T137" s="15">
        <f>+Tabel2[[#This Row],[stk 5 dagar buffara]]*Tabel2[[#This Row],[inkøbspris pr stk]]</f>
        <v>0</v>
      </c>
    </row>
    <row r="138" spans="1:20" ht="20.100000000000001" customHeight="1" x14ac:dyDescent="0.25">
      <c r="A138" s="1"/>
      <c r="B138" s="7" t="s">
        <v>190</v>
      </c>
      <c r="C138" s="3">
        <v>89</v>
      </c>
      <c r="D138" s="3">
        <v>64</v>
      </c>
      <c r="E138" s="3">
        <v>84</v>
      </c>
      <c r="F138" s="3">
        <v>58</v>
      </c>
      <c r="G138" s="3">
        <v>70</v>
      </c>
      <c r="H138" s="3">
        <v>80</v>
      </c>
      <c r="I138" s="13">
        <v>123</v>
      </c>
      <c r="J138" s="13">
        <v>76</v>
      </c>
      <c r="K138" s="13"/>
      <c r="L138" s="13"/>
      <c r="M138" s="13"/>
      <c r="N138" s="13"/>
      <c r="O138" s="13">
        <v>644</v>
      </c>
      <c r="P138" s="14">
        <f t="shared" si="8"/>
        <v>6.15</v>
      </c>
      <c r="Q138" s="15">
        <f t="shared" si="9"/>
        <v>30.75</v>
      </c>
      <c r="R138" s="15" t="s">
        <v>205</v>
      </c>
      <c r="S138" s="15"/>
      <c r="T138" s="15">
        <f>+Tabel2[[#This Row],[stk 5 dagar buffara]]*Tabel2[[#This Row],[inkøbspris pr stk]]</f>
        <v>0</v>
      </c>
    </row>
    <row r="139" spans="1:20" ht="20.100000000000001" customHeight="1" x14ac:dyDescent="0.25">
      <c r="A139" s="1"/>
      <c r="B139" s="7" t="s">
        <v>191</v>
      </c>
      <c r="C139" s="3">
        <v>5</v>
      </c>
      <c r="D139" s="3">
        <v>2</v>
      </c>
      <c r="E139" s="3">
        <v>1</v>
      </c>
      <c r="F139" s="3">
        <v>1</v>
      </c>
      <c r="G139" s="3">
        <v>3</v>
      </c>
      <c r="H139" s="3">
        <v>1</v>
      </c>
      <c r="I139" s="13">
        <v>13</v>
      </c>
      <c r="J139" s="13"/>
      <c r="K139" s="13"/>
      <c r="L139" s="13"/>
      <c r="M139" s="13"/>
      <c r="N139" s="13"/>
      <c r="O139" s="13">
        <v>26</v>
      </c>
      <c r="P139" s="14">
        <f t="shared" si="8"/>
        <v>0.65</v>
      </c>
      <c r="Q139" s="15">
        <f t="shared" si="9"/>
        <v>3.25</v>
      </c>
      <c r="R139" s="15" t="s">
        <v>205</v>
      </c>
      <c r="S139" s="15"/>
      <c r="T139" s="15">
        <f>+Tabel2[[#This Row],[stk 5 dagar buffara]]*Tabel2[[#This Row],[inkøbspris pr stk]]</f>
        <v>0</v>
      </c>
    </row>
    <row r="140" spans="1:20" ht="20.100000000000001" customHeight="1" x14ac:dyDescent="0.25">
      <c r="A140" s="1"/>
      <c r="B140" s="7" t="s">
        <v>192</v>
      </c>
      <c r="C140" s="3">
        <v>6</v>
      </c>
      <c r="D140" s="3">
        <v>8</v>
      </c>
      <c r="E140" s="3">
        <v>3</v>
      </c>
      <c r="F140" s="3">
        <v>6</v>
      </c>
      <c r="G140" s="3">
        <v>6</v>
      </c>
      <c r="H140" s="3">
        <v>4</v>
      </c>
      <c r="I140" s="13">
        <v>5</v>
      </c>
      <c r="J140" s="13"/>
      <c r="K140" s="13"/>
      <c r="L140" s="13"/>
      <c r="M140" s="13"/>
      <c r="N140" s="13"/>
      <c r="O140" s="13">
        <v>38</v>
      </c>
      <c r="P140" s="14">
        <f t="shared" si="8"/>
        <v>0.25</v>
      </c>
      <c r="Q140" s="15">
        <f t="shared" si="9"/>
        <v>1.25</v>
      </c>
      <c r="R140" s="15" t="s">
        <v>205</v>
      </c>
      <c r="S140" s="15"/>
      <c r="T140" s="15">
        <f>+Tabel2[[#This Row],[stk 5 dagar buffara]]*Tabel2[[#This Row],[inkøbspris pr stk]]</f>
        <v>0</v>
      </c>
    </row>
    <row r="141" spans="1:20" ht="20.100000000000001" customHeight="1" x14ac:dyDescent="0.25">
      <c r="A141" s="1"/>
      <c r="B141" s="7" t="s">
        <v>193</v>
      </c>
      <c r="C141" s="3">
        <v>2</v>
      </c>
      <c r="D141" s="3"/>
      <c r="E141" s="3"/>
      <c r="F141" s="3"/>
      <c r="G141" s="3"/>
      <c r="H141" s="3">
        <v>5</v>
      </c>
      <c r="I141" s="13">
        <v>2</v>
      </c>
      <c r="J141" s="13"/>
      <c r="K141" s="13"/>
      <c r="L141" s="13"/>
      <c r="M141" s="13"/>
      <c r="N141" s="13"/>
      <c r="O141" s="13">
        <v>9</v>
      </c>
      <c r="P141" s="14">
        <f t="shared" si="8"/>
        <v>0.1</v>
      </c>
      <c r="Q141" s="15">
        <f t="shared" si="9"/>
        <v>0.5</v>
      </c>
      <c r="R141" s="15" t="s">
        <v>205</v>
      </c>
      <c r="S141" s="15"/>
      <c r="T141" s="15">
        <f>+Tabel2[[#This Row],[stk 5 dagar buffara]]*Tabel2[[#This Row],[inkøbspris pr stk]]</f>
        <v>0</v>
      </c>
    </row>
    <row r="142" spans="1:20" ht="20.100000000000001" customHeight="1" x14ac:dyDescent="0.25">
      <c r="A142" s="1"/>
      <c r="B142" s="7" t="s">
        <v>13</v>
      </c>
      <c r="C142" s="3">
        <v>1562</v>
      </c>
      <c r="D142" s="3">
        <v>1658</v>
      </c>
      <c r="E142" s="3">
        <v>1911</v>
      </c>
      <c r="F142" s="3">
        <v>1803</v>
      </c>
      <c r="G142" s="3">
        <v>1440</v>
      </c>
      <c r="H142" s="3">
        <v>1669</v>
      </c>
      <c r="I142" s="10">
        <v>1705</v>
      </c>
      <c r="J142" s="10">
        <v>1559</v>
      </c>
      <c r="K142" s="10"/>
      <c r="L142" s="10"/>
      <c r="M142" s="10"/>
      <c r="N142" s="10"/>
      <c r="O142" s="10">
        <v>13307</v>
      </c>
      <c r="P142" s="11">
        <f t="shared" si="8"/>
        <v>85.25</v>
      </c>
      <c r="Q142" s="12">
        <f t="shared" si="9"/>
        <v>426.25</v>
      </c>
      <c r="R142" s="12" t="s">
        <v>199</v>
      </c>
      <c r="S142" s="12"/>
      <c r="T142" s="12">
        <f>+Tabel2[[#This Row],[stk 5 dagar buffara]]*Tabel2[[#This Row],[inkøbspris pr stk]]</f>
        <v>0</v>
      </c>
    </row>
    <row r="143" spans="1:20" ht="20.100000000000001" customHeight="1" x14ac:dyDescent="0.25">
      <c r="A143" s="1"/>
      <c r="B143" s="7" t="s">
        <v>41</v>
      </c>
      <c r="C143" s="3">
        <v>1980</v>
      </c>
      <c r="D143" s="3">
        <v>2250</v>
      </c>
      <c r="E143" s="3">
        <v>2440</v>
      </c>
      <c r="F143" s="3">
        <v>2141</v>
      </c>
      <c r="G143" s="3">
        <v>1969</v>
      </c>
      <c r="H143" s="3">
        <v>2160</v>
      </c>
      <c r="I143" s="13">
        <v>2160</v>
      </c>
      <c r="J143" s="13">
        <v>1675</v>
      </c>
      <c r="K143" s="13"/>
      <c r="L143" s="13"/>
      <c r="M143" s="13"/>
      <c r="N143" s="13"/>
      <c r="O143" s="13">
        <v>16775</v>
      </c>
      <c r="P143" s="14">
        <f t="shared" si="8"/>
        <v>108</v>
      </c>
      <c r="Q143" s="15">
        <f t="shared" si="9"/>
        <v>540</v>
      </c>
      <c r="R143" s="15" t="s">
        <v>199</v>
      </c>
      <c r="S143" s="15"/>
      <c r="T143" s="15">
        <f>+Tabel2[[#This Row],[stk 5 dagar buffara]]*Tabel2[[#This Row],[inkøbspris pr stk]]</f>
        <v>0</v>
      </c>
    </row>
    <row r="144" spans="1:20" ht="20.100000000000001" customHeight="1" x14ac:dyDescent="0.25">
      <c r="A144" s="1"/>
      <c r="B144" s="7" t="s">
        <v>47</v>
      </c>
      <c r="C144" s="3">
        <v>99</v>
      </c>
      <c r="D144" s="3">
        <v>93</v>
      </c>
      <c r="E144" s="3">
        <v>100</v>
      </c>
      <c r="F144" s="3">
        <v>100</v>
      </c>
      <c r="G144" s="3">
        <v>98</v>
      </c>
      <c r="H144" s="3">
        <v>162</v>
      </c>
      <c r="I144" s="13">
        <v>121</v>
      </c>
      <c r="J144" s="13">
        <v>112</v>
      </c>
      <c r="K144" s="13"/>
      <c r="L144" s="13"/>
      <c r="M144" s="13"/>
      <c r="N144" s="13"/>
      <c r="O144" s="13">
        <v>885</v>
      </c>
      <c r="P144" s="14">
        <f t="shared" si="8"/>
        <v>6.05</v>
      </c>
      <c r="Q144" s="15">
        <f t="shared" si="9"/>
        <v>30.25</v>
      </c>
      <c r="R144" s="15" t="s">
        <v>199</v>
      </c>
      <c r="S144" s="15"/>
      <c r="T144" s="15">
        <f>+Tabel2[[#This Row],[stk 5 dagar buffara]]*Tabel2[[#This Row],[inkøbspris pr stk]]</f>
        <v>0</v>
      </c>
    </row>
    <row r="145" spans="1:20" ht="20.100000000000001" customHeight="1" x14ac:dyDescent="0.25">
      <c r="A145" s="1"/>
      <c r="B145" s="7" t="s">
        <v>48</v>
      </c>
      <c r="C145" s="3">
        <v>2425</v>
      </c>
      <c r="D145" s="3">
        <v>1990</v>
      </c>
      <c r="E145" s="3">
        <v>2730</v>
      </c>
      <c r="F145" s="3">
        <v>2555</v>
      </c>
      <c r="G145" s="3">
        <v>2272</v>
      </c>
      <c r="H145" s="3">
        <v>2515</v>
      </c>
      <c r="I145" s="13">
        <v>2640</v>
      </c>
      <c r="J145" s="13">
        <v>2230</v>
      </c>
      <c r="K145" s="13"/>
      <c r="L145" s="13"/>
      <c r="M145" s="13"/>
      <c r="N145" s="13"/>
      <c r="O145" s="13">
        <v>19357</v>
      </c>
      <c r="P145" s="14">
        <f t="shared" si="8"/>
        <v>132</v>
      </c>
      <c r="Q145" s="15">
        <f t="shared" si="9"/>
        <v>660</v>
      </c>
      <c r="R145" s="15" t="s">
        <v>199</v>
      </c>
      <c r="S145" s="15"/>
      <c r="T145" s="15">
        <f>+Tabel2[[#This Row],[stk 5 dagar buffara]]*Tabel2[[#This Row],[inkøbspris pr stk]]</f>
        <v>0</v>
      </c>
    </row>
    <row r="146" spans="1:20" ht="20.100000000000001" customHeight="1" x14ac:dyDescent="0.25">
      <c r="A146" s="1"/>
      <c r="B146" s="7" t="s">
        <v>69</v>
      </c>
      <c r="C146" s="3">
        <v>4680</v>
      </c>
      <c r="D146" s="3">
        <v>4630</v>
      </c>
      <c r="E146" s="3">
        <v>5580</v>
      </c>
      <c r="F146" s="3">
        <v>5300</v>
      </c>
      <c r="G146" s="3">
        <v>4525</v>
      </c>
      <c r="H146" s="3">
        <v>5470</v>
      </c>
      <c r="I146" s="13">
        <v>5230</v>
      </c>
      <c r="J146" s="13">
        <v>4280</v>
      </c>
      <c r="K146" s="13"/>
      <c r="L146" s="13"/>
      <c r="M146" s="13"/>
      <c r="N146" s="13"/>
      <c r="O146" s="13">
        <v>39695</v>
      </c>
      <c r="P146" s="14">
        <f t="shared" si="8"/>
        <v>261.5</v>
      </c>
      <c r="Q146" s="15">
        <f t="shared" si="9"/>
        <v>1307.5</v>
      </c>
      <c r="R146" s="15" t="s">
        <v>199</v>
      </c>
      <c r="S146" s="15"/>
      <c r="T146" s="15">
        <f>+Tabel2[[#This Row],[stk 5 dagar buffara]]*Tabel2[[#This Row],[inkøbspris pr stk]]</f>
        <v>0</v>
      </c>
    </row>
    <row r="147" spans="1:20" ht="20.100000000000001" hidden="1" customHeight="1" x14ac:dyDescent="0.25">
      <c r="A147" s="1"/>
      <c r="B147" s="7" t="s">
        <v>70</v>
      </c>
      <c r="C147" s="3">
        <v>270</v>
      </c>
      <c r="D147" s="3"/>
      <c r="E147" s="3"/>
      <c r="F147" s="3"/>
      <c r="G147" s="3"/>
      <c r="H147" s="3"/>
      <c r="I147" s="13"/>
      <c r="J147" s="13"/>
      <c r="K147" s="13"/>
      <c r="L147" s="13"/>
      <c r="M147" s="13"/>
      <c r="N147" s="13"/>
      <c r="O147" s="13">
        <v>270</v>
      </c>
      <c r="P147" s="14">
        <f t="shared" si="8"/>
        <v>0</v>
      </c>
      <c r="Q147" s="15">
        <f t="shared" si="9"/>
        <v>0</v>
      </c>
      <c r="R147" s="15" t="s">
        <v>199</v>
      </c>
      <c r="S147" s="15"/>
      <c r="T147" s="15">
        <f>+Tabel2[[#This Row],[stk 5 dagar buffara]]*Tabel2[[#This Row],[inkøbspris pr stk]]</f>
        <v>0</v>
      </c>
    </row>
    <row r="148" spans="1:20" ht="20.100000000000001" customHeight="1" x14ac:dyDescent="0.25">
      <c r="A148" s="1"/>
      <c r="B148" s="7" t="s">
        <v>71</v>
      </c>
      <c r="C148" s="3">
        <v>2290</v>
      </c>
      <c r="D148" s="3">
        <v>2020</v>
      </c>
      <c r="E148" s="3">
        <v>2820</v>
      </c>
      <c r="F148" s="3">
        <v>2640</v>
      </c>
      <c r="G148" s="3">
        <v>2360</v>
      </c>
      <c r="H148" s="3">
        <v>2840</v>
      </c>
      <c r="I148" s="13">
        <v>2360</v>
      </c>
      <c r="J148" s="13">
        <v>1500</v>
      </c>
      <c r="K148" s="13"/>
      <c r="L148" s="13"/>
      <c r="M148" s="13"/>
      <c r="N148" s="13"/>
      <c r="O148" s="13">
        <v>18830</v>
      </c>
      <c r="P148" s="14">
        <f t="shared" si="8"/>
        <v>118</v>
      </c>
      <c r="Q148" s="15">
        <f t="shared" si="9"/>
        <v>590</v>
      </c>
      <c r="R148" s="15" t="s">
        <v>199</v>
      </c>
      <c r="S148" s="15"/>
      <c r="T148" s="15">
        <f>+Tabel2[[#This Row],[stk 5 dagar buffara]]*Tabel2[[#This Row],[inkøbspris pr stk]]</f>
        <v>0</v>
      </c>
    </row>
    <row r="149" spans="1:20" ht="20.100000000000001" customHeight="1" x14ac:dyDescent="0.25">
      <c r="A149" s="1"/>
      <c r="B149" s="7" t="s">
        <v>72</v>
      </c>
      <c r="C149" s="3">
        <v>451</v>
      </c>
      <c r="D149" s="3">
        <v>300</v>
      </c>
      <c r="E149" s="3">
        <v>360</v>
      </c>
      <c r="F149" s="3">
        <v>413</v>
      </c>
      <c r="G149" s="3">
        <v>340</v>
      </c>
      <c r="H149" s="3">
        <v>313</v>
      </c>
      <c r="I149" s="13">
        <v>320</v>
      </c>
      <c r="J149" s="13">
        <v>246</v>
      </c>
      <c r="K149" s="13"/>
      <c r="L149" s="13"/>
      <c r="M149" s="13"/>
      <c r="N149" s="13"/>
      <c r="O149" s="13">
        <v>2743</v>
      </c>
      <c r="P149" s="14">
        <f t="shared" si="8"/>
        <v>16</v>
      </c>
      <c r="Q149" s="15">
        <f t="shared" si="9"/>
        <v>80</v>
      </c>
      <c r="R149" s="15" t="s">
        <v>199</v>
      </c>
      <c r="S149" s="15"/>
      <c r="T149" s="15">
        <f>+Tabel2[[#This Row],[stk 5 dagar buffara]]*Tabel2[[#This Row],[inkøbspris pr stk]]</f>
        <v>0</v>
      </c>
    </row>
    <row r="150" spans="1:20" ht="20.100000000000001" customHeight="1" x14ac:dyDescent="0.25">
      <c r="A150" s="1"/>
      <c r="B150" s="7" t="s">
        <v>73</v>
      </c>
      <c r="C150" s="3">
        <v>102</v>
      </c>
      <c r="D150" s="3">
        <v>77</v>
      </c>
      <c r="E150" s="3">
        <v>103</v>
      </c>
      <c r="F150" s="3">
        <v>143</v>
      </c>
      <c r="G150" s="3">
        <v>160</v>
      </c>
      <c r="H150" s="3">
        <v>138</v>
      </c>
      <c r="I150" s="13">
        <v>115</v>
      </c>
      <c r="J150" s="13">
        <v>112</v>
      </c>
      <c r="K150" s="13"/>
      <c r="L150" s="13"/>
      <c r="M150" s="13"/>
      <c r="N150" s="13"/>
      <c r="O150" s="13">
        <v>950</v>
      </c>
      <c r="P150" s="14">
        <f t="shared" si="8"/>
        <v>5.75</v>
      </c>
      <c r="Q150" s="15">
        <f t="shared" si="9"/>
        <v>28.75</v>
      </c>
      <c r="R150" s="15" t="s">
        <v>199</v>
      </c>
      <c r="S150" s="15"/>
      <c r="T150" s="15">
        <f>+Tabel2[[#This Row],[stk 5 dagar buffara]]*Tabel2[[#This Row],[inkøbspris pr stk]]</f>
        <v>0</v>
      </c>
    </row>
    <row r="151" spans="1:20" ht="20.100000000000001" customHeight="1" x14ac:dyDescent="0.25">
      <c r="A151" s="1"/>
      <c r="B151" s="7" t="s">
        <v>74</v>
      </c>
      <c r="C151" s="3">
        <v>1181</v>
      </c>
      <c r="D151" s="3">
        <v>1175</v>
      </c>
      <c r="E151" s="3">
        <v>1739</v>
      </c>
      <c r="F151" s="3">
        <v>1323</v>
      </c>
      <c r="G151" s="3">
        <v>1316</v>
      </c>
      <c r="H151" s="3">
        <v>1374</v>
      </c>
      <c r="I151" s="13">
        <v>1340</v>
      </c>
      <c r="J151" s="13">
        <v>1103</v>
      </c>
      <c r="K151" s="13"/>
      <c r="L151" s="13"/>
      <c r="M151" s="13"/>
      <c r="N151" s="13"/>
      <c r="O151" s="13">
        <v>10551</v>
      </c>
      <c r="P151" s="14">
        <f t="shared" si="8"/>
        <v>67</v>
      </c>
      <c r="Q151" s="15">
        <f t="shared" si="9"/>
        <v>335</v>
      </c>
      <c r="R151" s="15" t="s">
        <v>199</v>
      </c>
      <c r="S151" s="15"/>
      <c r="T151" s="15">
        <f>+Tabel2[[#This Row],[stk 5 dagar buffara]]*Tabel2[[#This Row],[inkøbspris pr stk]]</f>
        <v>0</v>
      </c>
    </row>
    <row r="152" spans="1:20" ht="20.100000000000001" customHeight="1" x14ac:dyDescent="0.25">
      <c r="A152" s="1"/>
      <c r="B152" s="7" t="s">
        <v>75</v>
      </c>
      <c r="C152" s="3">
        <v>5440</v>
      </c>
      <c r="D152" s="3">
        <v>4785</v>
      </c>
      <c r="E152" s="3">
        <v>6210</v>
      </c>
      <c r="F152" s="3">
        <v>5940</v>
      </c>
      <c r="G152" s="3">
        <v>4700</v>
      </c>
      <c r="H152" s="3">
        <v>6040</v>
      </c>
      <c r="I152" s="13">
        <v>6240</v>
      </c>
      <c r="J152" s="13">
        <v>4640</v>
      </c>
      <c r="K152" s="13"/>
      <c r="L152" s="13"/>
      <c r="M152" s="13"/>
      <c r="N152" s="13"/>
      <c r="O152" s="13">
        <v>43995</v>
      </c>
      <c r="P152" s="14">
        <f t="shared" si="8"/>
        <v>312</v>
      </c>
      <c r="Q152" s="15">
        <f t="shared" si="9"/>
        <v>1560</v>
      </c>
      <c r="R152" s="15" t="s">
        <v>199</v>
      </c>
      <c r="S152" s="15"/>
      <c r="T152" s="15">
        <f>+Tabel2[[#This Row],[stk 5 dagar buffara]]*Tabel2[[#This Row],[inkøbspris pr stk]]</f>
        <v>0</v>
      </c>
    </row>
    <row r="153" spans="1:20" ht="20.100000000000001" customHeight="1" x14ac:dyDescent="0.25">
      <c r="A153" s="1"/>
      <c r="B153" s="7" t="s">
        <v>76</v>
      </c>
      <c r="C153" s="3">
        <v>2035</v>
      </c>
      <c r="D153" s="3">
        <v>2230</v>
      </c>
      <c r="E153" s="3">
        <v>2750</v>
      </c>
      <c r="F153" s="3">
        <v>2360</v>
      </c>
      <c r="G153" s="3">
        <v>2220</v>
      </c>
      <c r="H153" s="3">
        <v>2710</v>
      </c>
      <c r="I153" s="13">
        <v>2160</v>
      </c>
      <c r="J153" s="13">
        <v>1700</v>
      </c>
      <c r="K153" s="13"/>
      <c r="L153" s="13"/>
      <c r="M153" s="13"/>
      <c r="N153" s="13"/>
      <c r="O153" s="13">
        <v>18165</v>
      </c>
      <c r="P153" s="14">
        <f t="shared" si="8"/>
        <v>108</v>
      </c>
      <c r="Q153" s="15">
        <f t="shared" si="9"/>
        <v>540</v>
      </c>
      <c r="R153" s="15" t="s">
        <v>199</v>
      </c>
      <c r="S153" s="15"/>
      <c r="T153" s="15">
        <f>+Tabel2[[#This Row],[stk 5 dagar buffara]]*Tabel2[[#This Row],[inkøbspris pr stk]]</f>
        <v>0</v>
      </c>
    </row>
    <row r="154" spans="1:20" ht="20.100000000000001" customHeight="1" x14ac:dyDescent="0.25">
      <c r="A154" s="1"/>
      <c r="B154" s="7" t="s">
        <v>77</v>
      </c>
      <c r="C154" s="3">
        <v>2255</v>
      </c>
      <c r="D154" s="3">
        <v>2475</v>
      </c>
      <c r="E154" s="3">
        <v>2755</v>
      </c>
      <c r="F154" s="3">
        <v>2645</v>
      </c>
      <c r="G154" s="3">
        <v>2535</v>
      </c>
      <c r="H154" s="3">
        <v>3020</v>
      </c>
      <c r="I154" s="13">
        <v>2560</v>
      </c>
      <c r="J154" s="13">
        <v>2010</v>
      </c>
      <c r="K154" s="13"/>
      <c r="L154" s="13"/>
      <c r="M154" s="13"/>
      <c r="N154" s="13"/>
      <c r="O154" s="13">
        <v>20255</v>
      </c>
      <c r="P154" s="14">
        <f t="shared" si="8"/>
        <v>128</v>
      </c>
      <c r="Q154" s="15">
        <f t="shared" si="9"/>
        <v>640</v>
      </c>
      <c r="R154" s="15" t="s">
        <v>199</v>
      </c>
      <c r="S154" s="15"/>
      <c r="T154" s="15">
        <f>+Tabel2[[#This Row],[stk 5 dagar buffara]]*Tabel2[[#This Row],[inkøbspris pr stk]]</f>
        <v>0</v>
      </c>
    </row>
    <row r="155" spans="1:20" ht="20.100000000000001" customHeight="1" x14ac:dyDescent="0.25">
      <c r="A155" s="1"/>
      <c r="B155" s="7" t="s">
        <v>78</v>
      </c>
      <c r="C155" s="3">
        <v>2830</v>
      </c>
      <c r="D155" s="3">
        <v>3050</v>
      </c>
      <c r="E155" s="3">
        <v>3350</v>
      </c>
      <c r="F155" s="3">
        <v>3370</v>
      </c>
      <c r="G155" s="3">
        <v>3430</v>
      </c>
      <c r="H155" s="3">
        <v>3230</v>
      </c>
      <c r="I155" s="13">
        <v>3360</v>
      </c>
      <c r="J155" s="13">
        <v>2605</v>
      </c>
      <c r="K155" s="13"/>
      <c r="L155" s="13"/>
      <c r="M155" s="13"/>
      <c r="N155" s="13"/>
      <c r="O155" s="13">
        <v>25225</v>
      </c>
      <c r="P155" s="14">
        <f t="shared" si="8"/>
        <v>168</v>
      </c>
      <c r="Q155" s="15">
        <f t="shared" si="9"/>
        <v>840</v>
      </c>
      <c r="R155" s="15" t="s">
        <v>199</v>
      </c>
      <c r="S155" s="15"/>
      <c r="T155" s="15">
        <f>+Tabel2[[#This Row],[stk 5 dagar buffara]]*Tabel2[[#This Row],[inkøbspris pr stk]]</f>
        <v>0</v>
      </c>
    </row>
    <row r="156" spans="1:20" ht="20.100000000000001" customHeight="1" x14ac:dyDescent="0.25">
      <c r="A156" s="1"/>
      <c r="B156" s="7" t="s">
        <v>79</v>
      </c>
      <c r="C156" s="3">
        <v>8</v>
      </c>
      <c r="D156" s="3">
        <v>24</v>
      </c>
      <c r="E156" s="3">
        <v>5</v>
      </c>
      <c r="F156" s="3">
        <v>10</v>
      </c>
      <c r="G156" s="3">
        <v>12</v>
      </c>
      <c r="H156" s="3">
        <v>2</v>
      </c>
      <c r="I156" s="13">
        <v>24</v>
      </c>
      <c r="J156" s="13">
        <v>1</v>
      </c>
      <c r="K156" s="13"/>
      <c r="L156" s="13"/>
      <c r="M156" s="13"/>
      <c r="N156" s="13"/>
      <c r="O156" s="13">
        <v>86</v>
      </c>
      <c r="P156" s="14">
        <f t="shared" si="8"/>
        <v>1.2</v>
      </c>
      <c r="Q156" s="15">
        <f t="shared" si="9"/>
        <v>6</v>
      </c>
      <c r="R156" s="15" t="s">
        <v>199</v>
      </c>
      <c r="S156" s="15"/>
      <c r="T156" s="15">
        <f>+Tabel2[[#This Row],[stk 5 dagar buffara]]*Tabel2[[#This Row],[inkøbspris pr stk]]</f>
        <v>0</v>
      </c>
    </row>
    <row r="157" spans="1:20" ht="20.100000000000001" customHeight="1" x14ac:dyDescent="0.25">
      <c r="A157" s="1"/>
      <c r="B157" s="7" t="s">
        <v>81</v>
      </c>
      <c r="C157" s="3">
        <v>60</v>
      </c>
      <c r="D157" s="3">
        <v>110</v>
      </c>
      <c r="E157" s="3">
        <v>40</v>
      </c>
      <c r="F157" s="3">
        <v>60</v>
      </c>
      <c r="G157" s="3">
        <v>50</v>
      </c>
      <c r="H157" s="3">
        <v>70</v>
      </c>
      <c r="I157" s="13">
        <v>50</v>
      </c>
      <c r="J157" s="13">
        <v>50</v>
      </c>
      <c r="K157" s="13"/>
      <c r="L157" s="13"/>
      <c r="M157" s="13"/>
      <c r="N157" s="13"/>
      <c r="O157" s="13">
        <v>490</v>
      </c>
      <c r="P157" s="14">
        <f t="shared" si="8"/>
        <v>2.5</v>
      </c>
      <c r="Q157" s="15">
        <f t="shared" si="9"/>
        <v>12.5</v>
      </c>
      <c r="R157" s="15" t="s">
        <v>199</v>
      </c>
      <c r="S157" s="15"/>
      <c r="T157" s="15">
        <f>+Tabel2[[#This Row],[stk 5 dagar buffara]]*Tabel2[[#This Row],[inkøbspris pr stk]]</f>
        <v>0</v>
      </c>
    </row>
    <row r="158" spans="1:20" ht="20.100000000000001" customHeight="1" x14ac:dyDescent="0.25">
      <c r="A158" s="1"/>
      <c r="B158" s="7" t="s">
        <v>83</v>
      </c>
      <c r="C158" s="3">
        <v>2</v>
      </c>
      <c r="D158" s="3"/>
      <c r="E158" s="3"/>
      <c r="F158" s="3"/>
      <c r="G158" s="3"/>
      <c r="H158" s="3">
        <v>3</v>
      </c>
      <c r="I158" s="13">
        <v>4</v>
      </c>
      <c r="J158" s="13">
        <v>6</v>
      </c>
      <c r="K158" s="13"/>
      <c r="L158" s="13"/>
      <c r="M158" s="13"/>
      <c r="N158" s="13"/>
      <c r="O158" s="13">
        <v>15</v>
      </c>
      <c r="P158" s="14">
        <f t="shared" si="8"/>
        <v>0.2</v>
      </c>
      <c r="Q158" s="15">
        <f t="shared" si="9"/>
        <v>1</v>
      </c>
      <c r="R158" s="15" t="s">
        <v>199</v>
      </c>
      <c r="S158" s="15"/>
      <c r="T158" s="15">
        <f>+Tabel2[[#This Row],[stk 5 dagar buffara]]*Tabel2[[#This Row],[inkøbspris pr stk]]</f>
        <v>0</v>
      </c>
    </row>
    <row r="159" spans="1:20" ht="20.100000000000001" hidden="1" customHeight="1" x14ac:dyDescent="0.25">
      <c r="A159" s="1"/>
      <c r="B159" s="7" t="s">
        <v>84</v>
      </c>
      <c r="C159" s="3">
        <v>70</v>
      </c>
      <c r="D159" s="3">
        <v>40</v>
      </c>
      <c r="E159" s="3">
        <v>65</v>
      </c>
      <c r="F159" s="3">
        <v>65</v>
      </c>
      <c r="G159" s="3">
        <v>40</v>
      </c>
      <c r="H159" s="3">
        <v>50</v>
      </c>
      <c r="I159" s="13"/>
      <c r="J159" s="13"/>
      <c r="K159" s="13"/>
      <c r="L159" s="13"/>
      <c r="M159" s="13"/>
      <c r="N159" s="13"/>
      <c r="O159" s="13">
        <v>330</v>
      </c>
      <c r="P159" s="14">
        <f t="shared" si="8"/>
        <v>0</v>
      </c>
      <c r="Q159" s="15">
        <f t="shared" si="9"/>
        <v>0</v>
      </c>
      <c r="R159" s="15" t="s">
        <v>199</v>
      </c>
      <c r="S159" s="15"/>
      <c r="T159" s="15">
        <f>+Tabel2[[#This Row],[stk 5 dagar buffara]]*Tabel2[[#This Row],[inkøbspris pr stk]]</f>
        <v>0</v>
      </c>
    </row>
    <row r="160" spans="1:20" ht="20.100000000000001" hidden="1" customHeight="1" x14ac:dyDescent="0.25">
      <c r="A160" s="1"/>
      <c r="B160" s="7" t="s">
        <v>85</v>
      </c>
      <c r="C160" s="3">
        <v>5</v>
      </c>
      <c r="D160" s="3"/>
      <c r="E160" s="3"/>
      <c r="F160" s="3">
        <v>15</v>
      </c>
      <c r="G160" s="3"/>
      <c r="H160" s="3"/>
      <c r="I160" s="13"/>
      <c r="J160" s="13"/>
      <c r="K160" s="13"/>
      <c r="L160" s="13"/>
      <c r="M160" s="13"/>
      <c r="N160" s="13"/>
      <c r="O160" s="13">
        <v>20</v>
      </c>
      <c r="P160" s="14">
        <f t="shared" si="8"/>
        <v>0</v>
      </c>
      <c r="Q160" s="15">
        <f t="shared" si="9"/>
        <v>0</v>
      </c>
      <c r="R160" s="15" t="s">
        <v>199</v>
      </c>
      <c r="S160" s="15"/>
      <c r="T160" s="15">
        <f>+Tabel2[[#This Row],[stk 5 dagar buffara]]*Tabel2[[#This Row],[inkøbspris pr stk]]</f>
        <v>0</v>
      </c>
    </row>
    <row r="161" spans="1:20" ht="20.100000000000001" hidden="1" customHeight="1" x14ac:dyDescent="0.25">
      <c r="A161" s="1"/>
      <c r="B161" s="7" t="s">
        <v>86</v>
      </c>
      <c r="C161" s="3">
        <v>110</v>
      </c>
      <c r="D161" s="3">
        <v>60</v>
      </c>
      <c r="E161" s="3">
        <v>45</v>
      </c>
      <c r="F161" s="3">
        <v>85</v>
      </c>
      <c r="G161" s="3">
        <v>80</v>
      </c>
      <c r="H161" s="3">
        <v>40</v>
      </c>
      <c r="I161" s="13"/>
      <c r="J161" s="13"/>
      <c r="K161" s="13"/>
      <c r="L161" s="13"/>
      <c r="M161" s="13"/>
      <c r="N161" s="13"/>
      <c r="O161" s="13">
        <v>420</v>
      </c>
      <c r="P161" s="14">
        <f t="shared" si="8"/>
        <v>0</v>
      </c>
      <c r="Q161" s="15">
        <f t="shared" si="9"/>
        <v>0</v>
      </c>
      <c r="R161" s="15" t="s">
        <v>199</v>
      </c>
      <c r="S161" s="15"/>
      <c r="T161" s="15">
        <f>+Tabel2[[#This Row],[stk 5 dagar buffara]]*Tabel2[[#This Row],[inkøbspris pr stk]]</f>
        <v>0</v>
      </c>
    </row>
    <row r="162" spans="1:20" ht="20.100000000000001" hidden="1" customHeight="1" x14ac:dyDescent="0.25">
      <c r="A162" s="1"/>
      <c r="B162" s="7" t="s">
        <v>87</v>
      </c>
      <c r="C162" s="3">
        <v>80</v>
      </c>
      <c r="D162" s="3">
        <v>60</v>
      </c>
      <c r="E162" s="3">
        <v>10</v>
      </c>
      <c r="F162" s="3">
        <v>70</v>
      </c>
      <c r="G162" s="3">
        <v>55</v>
      </c>
      <c r="H162" s="3">
        <v>70</v>
      </c>
      <c r="I162" s="13"/>
      <c r="J162" s="13"/>
      <c r="K162" s="13"/>
      <c r="L162" s="13"/>
      <c r="M162" s="13"/>
      <c r="N162" s="13"/>
      <c r="O162" s="13">
        <v>345</v>
      </c>
      <c r="P162" s="14">
        <f t="shared" si="8"/>
        <v>0</v>
      </c>
      <c r="Q162" s="15">
        <f t="shared" si="9"/>
        <v>0</v>
      </c>
      <c r="R162" s="15" t="s">
        <v>199</v>
      </c>
      <c r="S162" s="15"/>
      <c r="T162" s="15">
        <f>+Tabel2[[#This Row],[stk 5 dagar buffara]]*Tabel2[[#This Row],[inkøbspris pr stk]]</f>
        <v>0</v>
      </c>
    </row>
    <row r="163" spans="1:20" ht="20.100000000000001" hidden="1" customHeight="1" x14ac:dyDescent="0.25">
      <c r="A163" s="1"/>
      <c r="B163" s="7" t="s">
        <v>88</v>
      </c>
      <c r="C163" s="3">
        <v>25</v>
      </c>
      <c r="D163" s="3">
        <v>10</v>
      </c>
      <c r="E163" s="3">
        <v>6</v>
      </c>
      <c r="F163" s="3">
        <v>10</v>
      </c>
      <c r="G163" s="3">
        <v>10</v>
      </c>
      <c r="H163" s="3">
        <v>7</v>
      </c>
      <c r="I163" s="13"/>
      <c r="J163" s="13"/>
      <c r="K163" s="13"/>
      <c r="L163" s="13"/>
      <c r="M163" s="13"/>
      <c r="N163" s="13"/>
      <c r="O163" s="13">
        <v>68</v>
      </c>
      <c r="P163" s="14">
        <f t="shared" si="8"/>
        <v>0</v>
      </c>
      <c r="Q163" s="15">
        <f t="shared" si="9"/>
        <v>0</v>
      </c>
      <c r="R163" s="15" t="s">
        <v>199</v>
      </c>
      <c r="S163" s="15"/>
      <c r="T163" s="15">
        <f>+Tabel2[[#This Row],[stk 5 dagar buffara]]*Tabel2[[#This Row],[inkøbspris pr stk]]</f>
        <v>0</v>
      </c>
    </row>
    <row r="164" spans="1:20" ht="20.100000000000001" customHeight="1" x14ac:dyDescent="0.25">
      <c r="A164" s="1"/>
      <c r="B164" s="7" t="s">
        <v>89</v>
      </c>
      <c r="C164" s="3">
        <v>130</v>
      </c>
      <c r="D164" s="3">
        <v>130</v>
      </c>
      <c r="E164" s="3">
        <v>105</v>
      </c>
      <c r="F164" s="3">
        <v>130</v>
      </c>
      <c r="G164" s="3">
        <v>110</v>
      </c>
      <c r="H164" s="3">
        <v>80</v>
      </c>
      <c r="I164" s="13">
        <v>30</v>
      </c>
      <c r="J164" s="13"/>
      <c r="K164" s="13"/>
      <c r="L164" s="13"/>
      <c r="M164" s="13"/>
      <c r="N164" s="13"/>
      <c r="O164" s="13">
        <v>715</v>
      </c>
      <c r="P164" s="14">
        <f t="shared" ref="P164:P185" si="10">+I164/+$P$2</f>
        <v>1.5</v>
      </c>
      <c r="Q164" s="15">
        <f t="shared" ref="Q164:Q185" si="11">+P164*$Q$1</f>
        <v>7.5</v>
      </c>
      <c r="R164" s="15" t="s">
        <v>199</v>
      </c>
      <c r="S164" s="15"/>
      <c r="T164" s="15">
        <f>+Tabel2[[#This Row],[stk 5 dagar buffara]]*Tabel2[[#This Row],[inkøbspris pr stk]]</f>
        <v>0</v>
      </c>
    </row>
    <row r="165" spans="1:20" ht="20.100000000000001" customHeight="1" x14ac:dyDescent="0.25">
      <c r="A165" s="1"/>
      <c r="B165" s="7" t="s">
        <v>90</v>
      </c>
      <c r="C165" s="3">
        <v>170</v>
      </c>
      <c r="D165" s="3">
        <v>145</v>
      </c>
      <c r="E165" s="3">
        <v>170</v>
      </c>
      <c r="F165" s="3">
        <v>140</v>
      </c>
      <c r="G165" s="3">
        <v>120</v>
      </c>
      <c r="H165" s="3">
        <v>110</v>
      </c>
      <c r="I165" s="13">
        <v>30</v>
      </c>
      <c r="J165" s="13"/>
      <c r="K165" s="13"/>
      <c r="L165" s="13"/>
      <c r="M165" s="13"/>
      <c r="N165" s="13"/>
      <c r="O165" s="13">
        <v>885</v>
      </c>
      <c r="P165" s="14">
        <f t="shared" si="10"/>
        <v>1.5</v>
      </c>
      <c r="Q165" s="15">
        <f t="shared" si="11"/>
        <v>7.5</v>
      </c>
      <c r="R165" s="15" t="s">
        <v>199</v>
      </c>
      <c r="S165" s="15"/>
      <c r="T165" s="15">
        <f>+Tabel2[[#This Row],[stk 5 dagar buffara]]*Tabel2[[#This Row],[inkøbspris pr stk]]</f>
        <v>0</v>
      </c>
    </row>
    <row r="166" spans="1:20" ht="20.100000000000001" customHeight="1" x14ac:dyDescent="0.25">
      <c r="A166" s="1"/>
      <c r="B166" s="7" t="s">
        <v>91</v>
      </c>
      <c r="C166" s="3">
        <v>140</v>
      </c>
      <c r="D166" s="3">
        <v>80</v>
      </c>
      <c r="E166" s="3">
        <v>80</v>
      </c>
      <c r="F166" s="3">
        <v>120</v>
      </c>
      <c r="G166" s="3">
        <v>110</v>
      </c>
      <c r="H166" s="3">
        <v>70</v>
      </c>
      <c r="I166" s="13">
        <v>30</v>
      </c>
      <c r="J166" s="13"/>
      <c r="K166" s="13"/>
      <c r="L166" s="13"/>
      <c r="M166" s="13"/>
      <c r="N166" s="13"/>
      <c r="O166" s="13">
        <v>630</v>
      </c>
      <c r="P166" s="14">
        <f t="shared" si="10"/>
        <v>1.5</v>
      </c>
      <c r="Q166" s="15">
        <f t="shared" si="11"/>
        <v>7.5</v>
      </c>
      <c r="R166" s="15" t="s">
        <v>199</v>
      </c>
      <c r="S166" s="15"/>
      <c r="T166" s="15">
        <f>+Tabel2[[#This Row],[stk 5 dagar buffara]]*Tabel2[[#This Row],[inkøbspris pr stk]]</f>
        <v>0</v>
      </c>
    </row>
    <row r="167" spans="1:20" ht="20.100000000000001" customHeight="1" x14ac:dyDescent="0.25">
      <c r="A167" s="1"/>
      <c r="B167" s="7" t="s">
        <v>92</v>
      </c>
      <c r="C167" s="3">
        <v>152</v>
      </c>
      <c r="D167" s="3">
        <v>200</v>
      </c>
      <c r="E167" s="3">
        <v>240</v>
      </c>
      <c r="F167" s="3">
        <v>168</v>
      </c>
      <c r="G167" s="3">
        <v>136</v>
      </c>
      <c r="H167" s="3">
        <v>184</v>
      </c>
      <c r="I167" s="13">
        <v>96</v>
      </c>
      <c r="J167" s="13">
        <v>104</v>
      </c>
      <c r="K167" s="13"/>
      <c r="L167" s="13"/>
      <c r="M167" s="13"/>
      <c r="N167" s="13"/>
      <c r="O167" s="13">
        <v>1280</v>
      </c>
      <c r="P167" s="14">
        <f t="shared" si="10"/>
        <v>4.8</v>
      </c>
      <c r="Q167" s="15">
        <f t="shared" si="11"/>
        <v>24</v>
      </c>
      <c r="R167" s="15" t="s">
        <v>199</v>
      </c>
      <c r="S167" s="15"/>
      <c r="T167" s="15">
        <f>+Tabel2[[#This Row],[stk 5 dagar buffara]]*Tabel2[[#This Row],[inkøbspris pr stk]]</f>
        <v>0</v>
      </c>
    </row>
    <row r="168" spans="1:20" ht="20.100000000000001" customHeight="1" x14ac:dyDescent="0.25">
      <c r="A168" s="1"/>
      <c r="B168" s="7" t="s">
        <v>93</v>
      </c>
      <c r="C168" s="3">
        <v>161</v>
      </c>
      <c r="D168" s="3">
        <v>190</v>
      </c>
      <c r="E168" s="3">
        <v>188</v>
      </c>
      <c r="F168" s="3">
        <v>235</v>
      </c>
      <c r="G168" s="3">
        <v>293</v>
      </c>
      <c r="H168" s="3">
        <v>232</v>
      </c>
      <c r="I168" s="13">
        <v>282</v>
      </c>
      <c r="J168" s="13">
        <v>206</v>
      </c>
      <c r="K168" s="13"/>
      <c r="L168" s="13"/>
      <c r="M168" s="13"/>
      <c r="N168" s="13"/>
      <c r="O168" s="13">
        <v>1787</v>
      </c>
      <c r="P168" s="14">
        <f t="shared" si="10"/>
        <v>14.1</v>
      </c>
      <c r="Q168" s="15">
        <f t="shared" si="11"/>
        <v>70.5</v>
      </c>
      <c r="R168" s="15" t="s">
        <v>199</v>
      </c>
      <c r="S168" s="15"/>
      <c r="T168" s="15">
        <f>+Tabel2[[#This Row],[stk 5 dagar buffara]]*Tabel2[[#This Row],[inkøbspris pr stk]]</f>
        <v>0</v>
      </c>
    </row>
    <row r="169" spans="1:20" ht="20.100000000000001" hidden="1" customHeight="1" x14ac:dyDescent="0.25">
      <c r="A169" s="1"/>
      <c r="B169" s="7" t="s">
        <v>96</v>
      </c>
      <c r="C169" s="3">
        <v>5</v>
      </c>
      <c r="D169" s="3">
        <v>5</v>
      </c>
      <c r="E169" s="3"/>
      <c r="F169" s="3">
        <v>11</v>
      </c>
      <c r="G169" s="3">
        <v>5</v>
      </c>
      <c r="H169" s="3"/>
      <c r="I169" s="13"/>
      <c r="J169" s="13"/>
      <c r="K169" s="13"/>
      <c r="L169" s="13"/>
      <c r="M169" s="13"/>
      <c r="N169" s="13"/>
      <c r="O169" s="13">
        <v>26</v>
      </c>
      <c r="P169" s="14">
        <f t="shared" si="10"/>
        <v>0</v>
      </c>
      <c r="Q169" s="15">
        <f t="shared" si="11"/>
        <v>0</v>
      </c>
      <c r="R169" s="15" t="s">
        <v>199</v>
      </c>
      <c r="S169" s="15"/>
      <c r="T169" s="15">
        <f>+Tabel2[[#This Row],[stk 5 dagar buffara]]*Tabel2[[#This Row],[inkøbspris pr stk]]</f>
        <v>0</v>
      </c>
    </row>
    <row r="170" spans="1:20" ht="20.100000000000001" hidden="1" customHeight="1" x14ac:dyDescent="0.25">
      <c r="A170" s="1"/>
      <c r="B170" s="7" t="s">
        <v>97</v>
      </c>
      <c r="C170" s="3">
        <v>1</v>
      </c>
      <c r="D170" s="3"/>
      <c r="E170" s="3"/>
      <c r="F170" s="3"/>
      <c r="G170" s="3"/>
      <c r="H170" s="3"/>
      <c r="I170" s="13"/>
      <c r="J170" s="13">
        <v>13</v>
      </c>
      <c r="K170" s="13"/>
      <c r="L170" s="13"/>
      <c r="M170" s="13"/>
      <c r="N170" s="13"/>
      <c r="O170" s="13">
        <v>14</v>
      </c>
      <c r="P170" s="14">
        <f t="shared" si="10"/>
        <v>0</v>
      </c>
      <c r="Q170" s="15">
        <f t="shared" si="11"/>
        <v>0</v>
      </c>
      <c r="R170" s="15" t="s">
        <v>199</v>
      </c>
      <c r="S170" s="15"/>
      <c r="T170" s="15">
        <f>+Tabel2[[#This Row],[stk 5 dagar buffara]]*Tabel2[[#This Row],[inkøbspris pr stk]]</f>
        <v>0</v>
      </c>
    </row>
    <row r="171" spans="1:20" ht="20.100000000000001" customHeight="1" x14ac:dyDescent="0.25">
      <c r="A171" s="1"/>
      <c r="B171" s="7" t="s">
        <v>16</v>
      </c>
      <c r="C171" s="3">
        <v>1740</v>
      </c>
      <c r="D171" s="3">
        <v>1110</v>
      </c>
      <c r="E171" s="3">
        <v>2720</v>
      </c>
      <c r="F171" s="3">
        <v>6580</v>
      </c>
      <c r="G171" s="3">
        <v>6150</v>
      </c>
      <c r="H171" s="3">
        <v>9960</v>
      </c>
      <c r="I171" s="10">
        <v>17100</v>
      </c>
      <c r="J171" s="10">
        <v>15450</v>
      </c>
      <c r="K171" s="10"/>
      <c r="L171" s="10"/>
      <c r="M171" s="10"/>
      <c r="N171" s="10"/>
      <c r="O171" s="10">
        <v>60810</v>
      </c>
      <c r="P171" s="11">
        <f t="shared" si="10"/>
        <v>855</v>
      </c>
      <c r="Q171" s="12">
        <f t="shared" si="11"/>
        <v>4275</v>
      </c>
      <c r="R171" s="12" t="s">
        <v>202</v>
      </c>
      <c r="S171" s="12"/>
      <c r="T171" s="12">
        <f>+Tabel2[[#This Row],[stk 5 dagar buffara]]*Tabel2[[#This Row],[inkøbspris pr stk]]</f>
        <v>0</v>
      </c>
    </row>
    <row r="172" spans="1:20" ht="20.100000000000001" customHeight="1" x14ac:dyDescent="0.25">
      <c r="A172" s="1"/>
      <c r="B172" s="7" t="s">
        <v>17</v>
      </c>
      <c r="C172" s="3">
        <v>1190</v>
      </c>
      <c r="D172" s="3">
        <v>700</v>
      </c>
      <c r="E172" s="3">
        <v>1890</v>
      </c>
      <c r="F172" s="3">
        <v>4760</v>
      </c>
      <c r="G172" s="3">
        <v>4690</v>
      </c>
      <c r="H172" s="3">
        <v>7350</v>
      </c>
      <c r="I172" s="10">
        <v>13440</v>
      </c>
      <c r="J172" s="10">
        <v>12970</v>
      </c>
      <c r="K172" s="10"/>
      <c r="L172" s="10"/>
      <c r="M172" s="10"/>
      <c r="N172" s="10"/>
      <c r="O172" s="10">
        <v>46990</v>
      </c>
      <c r="P172" s="11">
        <f t="shared" si="10"/>
        <v>672</v>
      </c>
      <c r="Q172" s="12">
        <f t="shared" si="11"/>
        <v>3360</v>
      </c>
      <c r="R172" s="12" t="s">
        <v>202</v>
      </c>
      <c r="S172" s="12"/>
      <c r="T172" s="12">
        <f>+Tabel2[[#This Row],[stk 5 dagar buffara]]*Tabel2[[#This Row],[inkøbspris pr stk]]</f>
        <v>0</v>
      </c>
    </row>
    <row r="173" spans="1:20" ht="20.100000000000001" customHeight="1" x14ac:dyDescent="0.25">
      <c r="A173" s="1"/>
      <c r="B173" s="7" t="s">
        <v>19</v>
      </c>
      <c r="C173" s="3">
        <v>2190</v>
      </c>
      <c r="D173" s="3">
        <v>1110</v>
      </c>
      <c r="E173" s="3">
        <v>3020</v>
      </c>
      <c r="F173" s="3">
        <v>6905</v>
      </c>
      <c r="G173" s="3">
        <v>7200</v>
      </c>
      <c r="H173" s="3">
        <v>9080</v>
      </c>
      <c r="I173" s="10">
        <v>16890</v>
      </c>
      <c r="J173" s="10">
        <v>12700</v>
      </c>
      <c r="K173" s="10"/>
      <c r="L173" s="10"/>
      <c r="M173" s="10"/>
      <c r="N173" s="10"/>
      <c r="O173" s="10">
        <v>59095</v>
      </c>
      <c r="P173" s="11">
        <f t="shared" si="10"/>
        <v>844.5</v>
      </c>
      <c r="Q173" s="12">
        <f t="shared" si="11"/>
        <v>4222.5</v>
      </c>
      <c r="R173" s="12" t="s">
        <v>202</v>
      </c>
      <c r="S173" s="12"/>
      <c r="T173" s="12">
        <f>+Tabel2[[#This Row],[stk 5 dagar buffara]]*Tabel2[[#This Row],[inkøbspris pr stk]]</f>
        <v>0</v>
      </c>
    </row>
    <row r="174" spans="1:20" ht="20.100000000000001" customHeight="1" x14ac:dyDescent="0.25">
      <c r="A174" s="1"/>
      <c r="B174" s="7" t="s">
        <v>23</v>
      </c>
      <c r="C174" s="3">
        <v>20</v>
      </c>
      <c r="D174" s="3">
        <v>31</v>
      </c>
      <c r="E174" s="3">
        <v>64</v>
      </c>
      <c r="F174" s="3">
        <v>114</v>
      </c>
      <c r="G174" s="3">
        <v>46</v>
      </c>
      <c r="H174" s="3">
        <v>67</v>
      </c>
      <c r="I174" s="10">
        <v>202</v>
      </c>
      <c r="J174" s="10">
        <v>99</v>
      </c>
      <c r="K174" s="10"/>
      <c r="L174" s="10"/>
      <c r="M174" s="10"/>
      <c r="N174" s="10"/>
      <c r="O174" s="10">
        <v>643</v>
      </c>
      <c r="P174" s="11">
        <f t="shared" si="10"/>
        <v>10.1</v>
      </c>
      <c r="Q174" s="12">
        <f t="shared" si="11"/>
        <v>50.5</v>
      </c>
      <c r="R174" s="12" t="s">
        <v>202</v>
      </c>
      <c r="S174" s="12"/>
      <c r="T174" s="12">
        <f>+Tabel2[[#This Row],[stk 5 dagar buffara]]*Tabel2[[#This Row],[inkøbspris pr stk]]</f>
        <v>0</v>
      </c>
    </row>
    <row r="175" spans="1:20" ht="20.100000000000001" customHeight="1" x14ac:dyDescent="0.25">
      <c r="A175" s="1"/>
      <c r="B175" s="7" t="s">
        <v>26</v>
      </c>
      <c r="C175" s="3">
        <v>2820</v>
      </c>
      <c r="D175" s="3">
        <v>1760</v>
      </c>
      <c r="E175" s="3">
        <v>2990</v>
      </c>
      <c r="F175" s="3">
        <v>10580</v>
      </c>
      <c r="G175" s="3">
        <v>9250</v>
      </c>
      <c r="H175" s="3">
        <v>12510</v>
      </c>
      <c r="I175" s="10">
        <v>22150</v>
      </c>
      <c r="J175" s="10">
        <v>18800</v>
      </c>
      <c r="K175" s="10"/>
      <c r="L175" s="10"/>
      <c r="M175" s="10"/>
      <c r="N175" s="10"/>
      <c r="O175" s="10">
        <v>80860</v>
      </c>
      <c r="P175" s="11">
        <f t="shared" si="10"/>
        <v>1107.5</v>
      </c>
      <c r="Q175" s="12">
        <f t="shared" si="11"/>
        <v>5537.5</v>
      </c>
      <c r="R175" s="12" t="s">
        <v>202</v>
      </c>
      <c r="S175" s="12"/>
      <c r="T175" s="12">
        <f>+Tabel2[[#This Row],[stk 5 dagar buffara]]*Tabel2[[#This Row],[inkøbspris pr stk]]</f>
        <v>0</v>
      </c>
    </row>
    <row r="176" spans="1:20" ht="20.100000000000001" customHeight="1" x14ac:dyDescent="0.25">
      <c r="A176" s="1"/>
      <c r="B176" s="7" t="s">
        <v>27</v>
      </c>
      <c r="C176" s="3">
        <v>100</v>
      </c>
      <c r="D176" s="3">
        <v>100</v>
      </c>
      <c r="E176" s="3">
        <v>250</v>
      </c>
      <c r="F176" s="3">
        <v>525</v>
      </c>
      <c r="G176" s="3">
        <v>325</v>
      </c>
      <c r="H176" s="3">
        <v>250</v>
      </c>
      <c r="I176" s="10">
        <v>650</v>
      </c>
      <c r="J176" s="10">
        <v>725</v>
      </c>
      <c r="K176" s="10"/>
      <c r="L176" s="10"/>
      <c r="M176" s="10"/>
      <c r="N176" s="10"/>
      <c r="O176" s="10">
        <v>2925</v>
      </c>
      <c r="P176" s="11">
        <f t="shared" si="10"/>
        <v>32.5</v>
      </c>
      <c r="Q176" s="12">
        <f t="shared" si="11"/>
        <v>162.5</v>
      </c>
      <c r="R176" s="12" t="s">
        <v>202</v>
      </c>
      <c r="S176" s="12"/>
      <c r="T176" s="12">
        <f>+Tabel2[[#This Row],[stk 5 dagar buffara]]*Tabel2[[#This Row],[inkøbspris pr stk]]</f>
        <v>0</v>
      </c>
    </row>
    <row r="177" spans="1:20" ht="20.100000000000001" customHeight="1" x14ac:dyDescent="0.25">
      <c r="A177" s="1"/>
      <c r="B177" s="7" t="s">
        <v>65</v>
      </c>
      <c r="C177" s="3">
        <v>186</v>
      </c>
      <c r="D177" s="3">
        <v>113</v>
      </c>
      <c r="E177" s="3">
        <v>176</v>
      </c>
      <c r="F177" s="3">
        <v>385</v>
      </c>
      <c r="G177" s="3">
        <v>300</v>
      </c>
      <c r="H177" s="3">
        <v>525</v>
      </c>
      <c r="I177" s="13">
        <v>630</v>
      </c>
      <c r="J177" s="13">
        <v>647</v>
      </c>
      <c r="K177" s="13"/>
      <c r="L177" s="13"/>
      <c r="M177" s="13"/>
      <c r="N177" s="13"/>
      <c r="O177" s="13">
        <v>2962</v>
      </c>
      <c r="P177" s="14">
        <f t="shared" si="10"/>
        <v>31.5</v>
      </c>
      <c r="Q177" s="15">
        <f t="shared" si="11"/>
        <v>157.5</v>
      </c>
      <c r="R177" s="15" t="s">
        <v>202</v>
      </c>
      <c r="S177" s="15"/>
      <c r="T177" s="15">
        <f>+Tabel2[[#This Row],[stk 5 dagar buffara]]*Tabel2[[#This Row],[inkøbspris pr stk]]</f>
        <v>0</v>
      </c>
    </row>
    <row r="178" spans="1:20" ht="20.100000000000001" customHeight="1" x14ac:dyDescent="0.25">
      <c r="A178" s="1"/>
      <c r="B178" s="7" t="s">
        <v>66</v>
      </c>
      <c r="C178" s="3">
        <v>84</v>
      </c>
      <c r="D178" s="3">
        <v>12</v>
      </c>
      <c r="E178" s="3">
        <v>26</v>
      </c>
      <c r="F178" s="3">
        <v>21</v>
      </c>
      <c r="G178" s="3">
        <v>44</v>
      </c>
      <c r="H178" s="3">
        <v>37</v>
      </c>
      <c r="I178" s="13">
        <v>45</v>
      </c>
      <c r="J178" s="13">
        <v>17</v>
      </c>
      <c r="K178" s="13"/>
      <c r="L178" s="13"/>
      <c r="M178" s="13"/>
      <c r="N178" s="13"/>
      <c r="O178" s="13">
        <v>286</v>
      </c>
      <c r="P178" s="14">
        <f t="shared" si="10"/>
        <v>2.25</v>
      </c>
      <c r="Q178" s="15">
        <f t="shared" si="11"/>
        <v>11.25</v>
      </c>
      <c r="R178" s="15" t="s">
        <v>202</v>
      </c>
      <c r="S178" s="15"/>
      <c r="T178" s="15">
        <f>+Tabel2[[#This Row],[stk 5 dagar buffara]]*Tabel2[[#This Row],[inkøbspris pr stk]]</f>
        <v>0</v>
      </c>
    </row>
    <row r="179" spans="1:20" ht="20.100000000000001" customHeight="1" x14ac:dyDescent="0.25">
      <c r="A179" s="1"/>
      <c r="B179" s="7" t="s">
        <v>25</v>
      </c>
      <c r="C179" s="3">
        <v>200</v>
      </c>
      <c r="D179" s="3">
        <v>70</v>
      </c>
      <c r="E179" s="3">
        <v>70</v>
      </c>
      <c r="F179" s="3">
        <v>195</v>
      </c>
      <c r="G179" s="3">
        <v>140</v>
      </c>
      <c r="H179" s="3">
        <v>170</v>
      </c>
      <c r="I179" s="10">
        <v>120</v>
      </c>
      <c r="J179" s="10">
        <v>70</v>
      </c>
      <c r="K179" s="10"/>
      <c r="L179" s="10"/>
      <c r="M179" s="10"/>
      <c r="N179" s="10"/>
      <c r="O179" s="10">
        <v>1035</v>
      </c>
      <c r="P179" s="11">
        <f t="shared" si="10"/>
        <v>6</v>
      </c>
      <c r="Q179" s="12">
        <f t="shared" si="11"/>
        <v>30</v>
      </c>
      <c r="R179" s="12" t="s">
        <v>203</v>
      </c>
      <c r="S179" s="12"/>
      <c r="T179" s="12">
        <f>+Tabel2[[#This Row],[stk 5 dagar buffara]]*Tabel2[[#This Row],[inkøbspris pr stk]]</f>
        <v>0</v>
      </c>
    </row>
    <row r="180" spans="1:20" ht="20.100000000000001" customHeight="1" x14ac:dyDescent="0.25">
      <c r="A180" s="1"/>
      <c r="B180" s="7" t="s">
        <v>58</v>
      </c>
      <c r="C180" s="3">
        <v>64</v>
      </c>
      <c r="D180" s="3">
        <v>48</v>
      </c>
      <c r="E180" s="3">
        <v>48</v>
      </c>
      <c r="F180" s="3">
        <v>80</v>
      </c>
      <c r="G180" s="3">
        <v>72</v>
      </c>
      <c r="H180" s="3">
        <v>80</v>
      </c>
      <c r="I180" s="13">
        <v>64</v>
      </c>
      <c r="J180" s="13">
        <v>48</v>
      </c>
      <c r="K180" s="13"/>
      <c r="L180" s="13"/>
      <c r="M180" s="13"/>
      <c r="N180" s="13"/>
      <c r="O180" s="13">
        <v>504</v>
      </c>
      <c r="P180" s="14">
        <f t="shared" si="10"/>
        <v>3.2</v>
      </c>
      <c r="Q180" s="15">
        <f t="shared" si="11"/>
        <v>16</v>
      </c>
      <c r="R180" s="15" t="s">
        <v>203</v>
      </c>
      <c r="S180" s="15"/>
      <c r="T180" s="15">
        <f>+Tabel2[[#This Row],[stk 5 dagar buffara]]*Tabel2[[#This Row],[inkøbspris pr stk]]</f>
        <v>0</v>
      </c>
    </row>
    <row r="181" spans="1:20" ht="20.100000000000001" customHeight="1" x14ac:dyDescent="0.25">
      <c r="A181" s="1"/>
      <c r="B181" s="7" t="s">
        <v>60</v>
      </c>
      <c r="C181" s="3">
        <v>64</v>
      </c>
      <c r="D181" s="3">
        <v>64</v>
      </c>
      <c r="E181" s="3">
        <v>72</v>
      </c>
      <c r="F181" s="3">
        <v>64</v>
      </c>
      <c r="G181" s="3">
        <v>80</v>
      </c>
      <c r="H181" s="3">
        <v>64</v>
      </c>
      <c r="I181" s="13">
        <v>96</v>
      </c>
      <c r="J181" s="13">
        <v>72</v>
      </c>
      <c r="K181" s="13"/>
      <c r="L181" s="13"/>
      <c r="M181" s="13"/>
      <c r="N181" s="13"/>
      <c r="O181" s="13">
        <v>576</v>
      </c>
      <c r="P181" s="14">
        <f t="shared" si="10"/>
        <v>4.8</v>
      </c>
      <c r="Q181" s="15">
        <f t="shared" si="11"/>
        <v>24</v>
      </c>
      <c r="R181" s="15" t="s">
        <v>203</v>
      </c>
      <c r="S181" s="15"/>
      <c r="T181" s="15">
        <f>+Tabel2[[#This Row],[stk 5 dagar buffara]]*Tabel2[[#This Row],[inkøbspris pr stk]]</f>
        <v>0</v>
      </c>
    </row>
    <row r="182" spans="1:20" ht="20.100000000000001" customHeight="1" x14ac:dyDescent="0.25">
      <c r="A182" s="1"/>
      <c r="B182" s="7" t="s">
        <v>61</v>
      </c>
      <c r="C182" s="3">
        <v>30</v>
      </c>
      <c r="D182" s="3"/>
      <c r="E182" s="3"/>
      <c r="F182" s="3">
        <v>125</v>
      </c>
      <c r="G182" s="3">
        <v>140</v>
      </c>
      <c r="H182" s="3">
        <v>150</v>
      </c>
      <c r="I182" s="13">
        <v>120</v>
      </c>
      <c r="J182" s="13"/>
      <c r="K182" s="13"/>
      <c r="L182" s="13"/>
      <c r="M182" s="13"/>
      <c r="N182" s="13"/>
      <c r="O182" s="13">
        <v>565</v>
      </c>
      <c r="P182" s="14">
        <f t="shared" si="10"/>
        <v>6</v>
      </c>
      <c r="Q182" s="15">
        <f t="shared" si="11"/>
        <v>30</v>
      </c>
      <c r="R182" s="15" t="s">
        <v>203</v>
      </c>
      <c r="S182" s="15"/>
      <c r="T182" s="15">
        <f>+Tabel2[[#This Row],[stk 5 dagar buffara]]*Tabel2[[#This Row],[inkøbspris pr stk]]</f>
        <v>0</v>
      </c>
    </row>
    <row r="183" spans="1:20" ht="20.100000000000001" customHeight="1" x14ac:dyDescent="0.25">
      <c r="A183" s="1"/>
      <c r="B183" s="7" t="s">
        <v>62</v>
      </c>
      <c r="C183" s="3">
        <v>320</v>
      </c>
      <c r="D183" s="3">
        <v>220</v>
      </c>
      <c r="E183" s="3">
        <v>310</v>
      </c>
      <c r="F183" s="3">
        <v>315</v>
      </c>
      <c r="G183" s="3">
        <v>390</v>
      </c>
      <c r="H183" s="3">
        <v>360</v>
      </c>
      <c r="I183" s="13">
        <v>360</v>
      </c>
      <c r="J183" s="13">
        <v>250</v>
      </c>
      <c r="K183" s="13"/>
      <c r="L183" s="13"/>
      <c r="M183" s="13"/>
      <c r="N183" s="13"/>
      <c r="O183" s="13">
        <v>2525</v>
      </c>
      <c r="P183" s="14">
        <f t="shared" si="10"/>
        <v>18</v>
      </c>
      <c r="Q183" s="15">
        <f t="shared" si="11"/>
        <v>90</v>
      </c>
      <c r="R183" s="15" t="s">
        <v>203</v>
      </c>
      <c r="S183" s="15"/>
      <c r="T183" s="15">
        <f>+Tabel2[[#This Row],[stk 5 dagar buffara]]*Tabel2[[#This Row],[inkøbspris pr stk]]</f>
        <v>0</v>
      </c>
    </row>
    <row r="184" spans="1:20" ht="20.100000000000001" customHeight="1" x14ac:dyDescent="0.25">
      <c r="A184" s="1"/>
      <c r="B184" s="7" t="s">
        <v>63</v>
      </c>
      <c r="C184" s="3">
        <v>200</v>
      </c>
      <c r="D184" s="3">
        <v>70</v>
      </c>
      <c r="E184" s="3">
        <v>70</v>
      </c>
      <c r="F184" s="3">
        <v>265</v>
      </c>
      <c r="G184" s="3">
        <v>140</v>
      </c>
      <c r="H184" s="3">
        <v>240</v>
      </c>
      <c r="I184" s="13">
        <v>190</v>
      </c>
      <c r="J184" s="13">
        <v>70</v>
      </c>
      <c r="K184" s="13"/>
      <c r="L184" s="13"/>
      <c r="M184" s="13"/>
      <c r="N184" s="13"/>
      <c r="O184" s="13">
        <v>1245</v>
      </c>
      <c r="P184" s="14">
        <f t="shared" si="10"/>
        <v>9.5</v>
      </c>
      <c r="Q184" s="15">
        <f t="shared" si="11"/>
        <v>47.5</v>
      </c>
      <c r="R184" s="15" t="s">
        <v>203</v>
      </c>
      <c r="S184" s="15"/>
      <c r="T184" s="15">
        <f>+Tabel2[[#This Row],[stk 5 dagar buffara]]*Tabel2[[#This Row],[inkøbspris pr stk]]</f>
        <v>0</v>
      </c>
    </row>
    <row r="185" spans="1:20" ht="20.100000000000001" customHeight="1" x14ac:dyDescent="0.25">
      <c r="A185" s="1"/>
      <c r="B185" s="8" t="s">
        <v>64</v>
      </c>
      <c r="C185" s="9">
        <v>30</v>
      </c>
      <c r="D185" s="9"/>
      <c r="E185" s="9"/>
      <c r="F185" s="9">
        <v>125</v>
      </c>
      <c r="G185" s="9">
        <v>120</v>
      </c>
      <c r="H185" s="9">
        <v>170</v>
      </c>
      <c r="I185" s="16">
        <v>120</v>
      </c>
      <c r="J185" s="16">
        <v>60</v>
      </c>
      <c r="K185" s="16"/>
      <c r="L185" s="16"/>
      <c r="M185" s="16"/>
      <c r="N185" s="16"/>
      <c r="O185" s="16">
        <v>625</v>
      </c>
      <c r="P185" s="17">
        <f t="shared" si="10"/>
        <v>6</v>
      </c>
      <c r="Q185" s="18">
        <f t="shared" si="11"/>
        <v>30</v>
      </c>
      <c r="R185" s="18" t="s">
        <v>203</v>
      </c>
      <c r="S185" s="18"/>
      <c r="T185" s="18">
        <f>+Tabel2[[#This Row],[stk 5 dagar buffara]]*Tabel2[[#This Row],[inkøbspris pr stk]]</f>
        <v>0</v>
      </c>
    </row>
    <row r="186" spans="1:20" ht="20.100000000000001" customHeight="1" x14ac:dyDescent="0.25">
      <c r="A186" s="1"/>
      <c r="B186" s="4"/>
      <c r="C186" s="5">
        <v>155521</v>
      </c>
      <c r="D186" s="5">
        <v>150004</v>
      </c>
      <c r="E186" s="5">
        <v>179038</v>
      </c>
      <c r="F186" s="5">
        <v>209090</v>
      </c>
      <c r="G186" s="5">
        <v>221251</v>
      </c>
      <c r="H186" s="5">
        <v>259630</v>
      </c>
      <c r="I186" s="20">
        <v>309686</v>
      </c>
      <c r="J186" s="20">
        <v>219979</v>
      </c>
      <c r="K186" s="20"/>
      <c r="L186" s="20"/>
      <c r="M186" s="20"/>
      <c r="N186" s="20"/>
      <c r="O186" s="20">
        <v>1704199</v>
      </c>
      <c r="P186" s="21">
        <f t="shared" ref="P186" si="12">+I186/20</f>
        <v>15484.3</v>
      </c>
      <c r="Q186" s="20">
        <f t="shared" ref="Q186" si="13">+P186*5</f>
        <v>77421.5</v>
      </c>
      <c r="R186" s="20"/>
      <c r="S186" s="20"/>
      <c r="T186" s="2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cn final LS flat linen 25</vt:lpstr>
      <vt:lpstr>LS udbud </vt:lpstr>
      <vt:lpstr>Udregning Buffer</vt:lpstr>
      <vt:lpstr>Buffer til varer (2)</vt:lpstr>
      <vt:lpstr>BV salg Hotel</vt:lpstr>
      <vt:lpstr>bv</vt:lpstr>
      <vt:lpstr>LS logo eksterne</vt:lpstr>
      <vt:lpstr>Buffer til varer</vt:lpstr>
    </vt:vector>
  </TitlesOfParts>
  <Company>NissenManagement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 Nissen</dc:creator>
  <cp:lastModifiedBy>Claus Nissen</cp:lastModifiedBy>
  <cp:lastPrinted>2025-11-04T08:40:15Z</cp:lastPrinted>
  <dcterms:created xsi:type="dcterms:W3CDTF">2025-08-25T13:09:31Z</dcterms:created>
  <dcterms:modified xsi:type="dcterms:W3CDTF">2025-11-24T19:27:39Z</dcterms:modified>
</cp:coreProperties>
</file>